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360" windowHeight="11790" tabRatio="656" activeTab="0"/>
  </bookViews>
  <sheets>
    <sheet name="2018년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Windows 사용자</author>
    <author>류부열</author>
  </authors>
  <commentList>
    <comment ref="I8" authorId="0">
      <text>
        <r>
          <rPr>
            <b/>
            <sz val="9"/>
            <rFont val="돋움"/>
            <family val="3"/>
          </rPr>
          <t>특허보상비외
비과세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소득
주식매수권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행사이익
</t>
        </r>
        <r>
          <rPr>
            <b/>
            <sz val="9"/>
            <rFont val="Tahoma"/>
            <family val="2"/>
          </rPr>
          <t>2000</t>
        </r>
        <r>
          <rPr>
            <b/>
            <sz val="9"/>
            <rFont val="돋움"/>
            <family val="3"/>
          </rPr>
          <t>만원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비과세
</t>
        </r>
        <r>
          <rPr>
            <b/>
            <sz val="9"/>
            <rFont val="Tahoma"/>
            <family val="2"/>
          </rPr>
          <t>('20.12.31</t>
        </r>
        <r>
          <rPr>
            <b/>
            <sz val="9"/>
            <rFont val="돋움"/>
            <family val="3"/>
          </rPr>
          <t>한</t>
        </r>
        <r>
          <rPr>
            <b/>
            <sz val="9"/>
            <rFont val="Tahoma"/>
            <family val="2"/>
          </rPr>
          <t>)</t>
        </r>
      </text>
    </comment>
    <comment ref="H8" authorId="1">
      <text>
        <r>
          <rPr>
            <b/>
            <sz val="9"/>
            <rFont val="돋움"/>
            <family val="3"/>
          </rPr>
          <t xml:space="preserve">비과세한도
</t>
        </r>
        <r>
          <rPr>
            <b/>
            <sz val="9"/>
            <rFont val="Tahoma"/>
            <family val="2"/>
          </rPr>
          <t>300</t>
        </r>
        <r>
          <rPr>
            <b/>
            <sz val="9"/>
            <rFont val="돋움"/>
            <family val="3"/>
          </rPr>
          <t>만원</t>
        </r>
      </text>
    </comment>
  </commentList>
</comments>
</file>

<file path=xl/sharedStrings.xml><?xml version="1.0" encoding="utf-8"?>
<sst xmlns="http://schemas.openxmlformats.org/spreadsheetml/2006/main" count="274" uniqueCount="268">
  <si>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</si>
  <si>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</si>
  <si>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</si>
  <si>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</si>
  <si>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</si>
  <si>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</si>
  <si>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</si>
  <si>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</si>
  <si>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</si>
  <si>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</si>
  <si>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총 급 여</t>
  </si>
  <si>
    <t>공제 기초 자료 내역</t>
  </si>
  <si>
    <t>사용액</t>
  </si>
  <si>
    <t>한도액</t>
  </si>
  <si>
    <t>기
본
공
제</t>
  </si>
  <si>
    <t>본    인</t>
  </si>
  <si>
    <t>기납부 소득세 총액</t>
  </si>
  <si>
    <t>기납부 주민세 총액</t>
  </si>
  <si>
    <t>종합소득 과세표준</t>
  </si>
  <si>
    <t>근로 소득 산출세액</t>
  </si>
  <si>
    <t>법인명</t>
  </si>
  <si>
    <t>사업자 등록번호</t>
  </si>
  <si>
    <t>소 재 지</t>
  </si>
  <si>
    <t>소득자</t>
  </si>
  <si>
    <t>법인 등록번호</t>
  </si>
  <si>
    <t>귀속년도</t>
  </si>
  <si>
    <t>고용보험료</t>
  </si>
  <si>
    <t>2월</t>
  </si>
  <si>
    <t>근로 소득 금액</t>
  </si>
  <si>
    <t>근로 소득 공제액</t>
  </si>
  <si>
    <t>장애인 전용 보장성</t>
  </si>
  <si>
    <t>전액</t>
  </si>
  <si>
    <t>불입액의 40%</t>
  </si>
  <si>
    <t>공제액</t>
  </si>
  <si>
    <t>소기업,소상공인공제부금</t>
  </si>
  <si>
    <t>개인연금저축 납입액 (2000년 이전)</t>
  </si>
  <si>
    <t>고용유지중소기업 근로자의 임금삭감액</t>
  </si>
  <si>
    <t>결정 주민세</t>
  </si>
  <si>
    <t>세액공제</t>
  </si>
  <si>
    <t>인적공제</t>
  </si>
  <si>
    <t>만 20세↓, 60세↑</t>
  </si>
  <si>
    <t>추
가
공
제</t>
  </si>
  <si>
    <t>주택</t>
  </si>
  <si>
    <t>주택임차 차입금</t>
  </si>
  <si>
    <t>주택마련저축+임차 차입금 한도</t>
  </si>
  <si>
    <t>대표자의 노란우산 공제 불입액</t>
  </si>
  <si>
    <t>주택자금
소득공제</t>
  </si>
  <si>
    <t>1. 주택임차 차입금 원리금상환액 (상환액의 40%)</t>
  </si>
  <si>
    <t>2.장기주택 이자상환액
  ~14년 : 3억↓, 85㎡ ↓
  14년~ : 4억↓
※ 임차차입금과
    중복 공제 불가</t>
  </si>
  <si>
    <t>통합한도</t>
  </si>
  <si>
    <t>1. 정치자금기부금</t>
  </si>
  <si>
    <t>소득공제 종합한도</t>
  </si>
  <si>
    <t>보험료,고용유지,전세 제외</t>
  </si>
  <si>
    <t>감면율</t>
  </si>
  <si>
    <t>연금계좌세액공제</t>
  </si>
  <si>
    <t>납세조합공제</t>
  </si>
  <si>
    <t>퇴직연금</t>
  </si>
  <si>
    <t>과학기술인공제</t>
  </si>
  <si>
    <t>원천징수 세액의</t>
  </si>
  <si>
    <t>주택 차입금이자 상환액 세액공제</t>
  </si>
  <si>
    <t>이자상환액의</t>
  </si>
  <si>
    <t>외국 납부 세액</t>
  </si>
  <si>
    <t>국외 근로소득</t>
  </si>
  <si>
    <t>확정일자 불요</t>
  </si>
  <si>
    <t>감면대상 소득</t>
  </si>
  <si>
    <t>감면세액</t>
  </si>
  <si>
    <t>추가한도액</t>
  </si>
  <si>
    <t>기본한도액</t>
  </si>
  <si>
    <t>공제한도액</t>
  </si>
  <si>
    <t>~2011년</t>
  </si>
  <si>
    <t>15년이상</t>
  </si>
  <si>
    <t>변동금리</t>
  </si>
  <si>
    <t>거치식</t>
  </si>
  <si>
    <t>대출시작년도</t>
  </si>
  <si>
    <t>이자상환액 한도</t>
  </si>
  <si>
    <t>대출기간</t>
  </si>
  <si>
    <t>금리</t>
  </si>
  <si>
    <t>거치여부</t>
  </si>
  <si>
    <t>이자상환액</t>
  </si>
  <si>
    <t>해당없음</t>
  </si>
  <si>
    <t>한도(16년이후)</t>
  </si>
  <si>
    <r>
      <rPr>
        <b/>
        <sz val="10"/>
        <rFont val="나눔고딕"/>
        <family val="3"/>
      </rPr>
      <t>기 부 금
공    제</t>
    </r>
    <r>
      <rPr>
        <sz val="10"/>
        <rFont val="나눔고딕"/>
        <family val="3"/>
      </rPr>
      <t xml:space="preserve">
</t>
    </r>
    <r>
      <rPr>
        <sz val="8"/>
        <rFont val="나눔고딕"/>
        <family val="3"/>
      </rPr>
      <t>나이요건 없음
소득요건 있음</t>
    </r>
  </si>
  <si>
    <t>월</t>
  </si>
  <si>
    <t>급여</t>
  </si>
  <si>
    <t>정기상여</t>
  </si>
  <si>
    <t>상여금</t>
  </si>
  <si>
    <t>기타급여</t>
  </si>
  <si>
    <t>소득세</t>
  </si>
  <si>
    <t>주민세</t>
  </si>
  <si>
    <t>국민건강보험</t>
  </si>
  <si>
    <t>노인장기요양보험</t>
  </si>
  <si>
    <t>국민연금</t>
  </si>
  <si>
    <t>고용보험료</t>
  </si>
  <si>
    <t>기타공제</t>
  </si>
  <si>
    <t>차인지급액</t>
  </si>
  <si>
    <t>1월</t>
  </si>
  <si>
    <t>합계</t>
  </si>
  <si>
    <t>○</t>
  </si>
  <si>
    <t>- 근로소득자
   연봉 500만원 이하
- 사업소득자
   수입금액-필요경비
   100만원이하</t>
  </si>
  <si>
    <t>의료비</t>
  </si>
  <si>
    <t>1. 본인,65세이상</t>
  </si>
  <si>
    <t>목록1</t>
  </si>
  <si>
    <t>목록2</t>
  </si>
  <si>
    <t>목록3</t>
  </si>
  <si>
    <t>배 우 자</t>
  </si>
  <si>
    <t>배우자 공제</t>
  </si>
  <si>
    <t>안경비등</t>
  </si>
  <si>
    <t>o</t>
  </si>
  <si>
    <t>직계존속</t>
  </si>
  <si>
    <t>남,여:60세 이상</t>
  </si>
  <si>
    <t xml:space="preserve">   안경비등은 인당 입력</t>
  </si>
  <si>
    <t>x</t>
  </si>
  <si>
    <t>직계비속</t>
  </si>
  <si>
    <t>만 20세이하</t>
  </si>
  <si>
    <t>2. 1을 제외한 공제자</t>
  </si>
  <si>
    <t>형제자매</t>
  </si>
  <si>
    <t xml:space="preserve">  (소득, 나이요건 없음)</t>
  </si>
  <si>
    <t>위탁아동</t>
  </si>
  <si>
    <t>6개월↑ 위탁</t>
  </si>
  <si>
    <t>경로우대</t>
  </si>
  <si>
    <t>70세이상</t>
  </si>
  <si>
    <r>
      <rPr>
        <b/>
        <sz val="10"/>
        <rFont val="나눔고딕"/>
        <family val="3"/>
      </rPr>
      <t>교 육 비
지출내역</t>
    </r>
    <r>
      <rPr>
        <sz val="10"/>
        <rFont val="나눔고딕"/>
        <family val="3"/>
      </rPr>
      <t xml:space="preserve">
</t>
    </r>
    <r>
      <rPr>
        <sz val="8"/>
        <rFont val="나눔고딕"/>
        <family val="3"/>
      </rPr>
      <t>나이요건 없음
소득요건 있음</t>
    </r>
  </si>
  <si>
    <t>장 애 인</t>
  </si>
  <si>
    <t>연령 제한없음</t>
  </si>
  <si>
    <t>부 녀 자</t>
  </si>
  <si>
    <t>총급여:41,470,588↓</t>
  </si>
  <si>
    <t>한부모 공제</t>
  </si>
  <si>
    <t>배우자 無, 직계비속, 입양자 有, 100만원</t>
  </si>
  <si>
    <t>연금 보험료 공제</t>
  </si>
  <si>
    <t>예상납부액</t>
  </si>
  <si>
    <t>특별공제</t>
  </si>
  <si>
    <t>보험료</t>
  </si>
  <si>
    <t>건강보험료</t>
  </si>
  <si>
    <t>장기요양보험료</t>
  </si>
  <si>
    <t>장기주택 이자</t>
  </si>
  <si>
    <t>한도 (계산식 참조)</t>
  </si>
  <si>
    <t>목록5</t>
  </si>
  <si>
    <t>목록6</t>
  </si>
  <si>
    <t>목록7</t>
  </si>
  <si>
    <t>목록8</t>
  </si>
  <si>
    <t>기부금(이월분)</t>
  </si>
  <si>
    <t>기부금 이월분 (2014년도 이전), 이후분은 세액 공제대상임</t>
  </si>
  <si>
    <t>2003년 이전</t>
  </si>
  <si>
    <t>10년이상</t>
  </si>
  <si>
    <t>고정금리</t>
  </si>
  <si>
    <t>비거치식</t>
  </si>
  <si>
    <t>그 밖의 소득공제</t>
  </si>
  <si>
    <t>개인연금저축공제</t>
  </si>
  <si>
    <t>소기업,소상공인공제</t>
  </si>
  <si>
    <t>2012~2014년</t>
  </si>
  <si>
    <t>30년이상</t>
  </si>
  <si>
    <t>주택마련저축 공제</t>
  </si>
  <si>
    <t>주택마련저축 불입액의 40%</t>
  </si>
  <si>
    <t>장애인 특수교육비</t>
  </si>
  <si>
    <t>2015년~</t>
  </si>
  <si>
    <t>투자조합출자등</t>
  </si>
  <si>
    <t>근로소득의 50%</t>
  </si>
  <si>
    <t>주택마련
저축공제</t>
  </si>
  <si>
    <t>주택마련저축
2015년 신규 의 경우
총급여 7000만원 이하</t>
  </si>
  <si>
    <t>청약저축</t>
  </si>
  <si>
    <t>저축+임차 한도</t>
  </si>
  <si>
    <t>신용카드등</t>
  </si>
  <si>
    <t>상세참조</t>
  </si>
  <si>
    <t>청약종합저축(14년이전)</t>
  </si>
  <si>
    <t>우리사주조합공제</t>
  </si>
  <si>
    <t>우리사주조합원이 우리사주 취득을 위해 출연한 금액</t>
  </si>
  <si>
    <t>청약종합저축(15년신규)</t>
  </si>
  <si>
    <t>주택 마련 저축</t>
  </si>
  <si>
    <t>고용유지중소기업 근로자</t>
  </si>
  <si>
    <t>임금삭감액(전년-올해임금)의 50%</t>
  </si>
  <si>
    <t>근로자주택마련저축</t>
  </si>
  <si>
    <t>장기집합투자증권</t>
  </si>
  <si>
    <t>저축납입액의 40%</t>
  </si>
  <si>
    <t>세
액
공
제</t>
  </si>
  <si>
    <t>근로 소득 세액 공제</t>
  </si>
  <si>
    <t>한도액(계산식 참조)</t>
  </si>
  <si>
    <t>2. 법정기부금 (국가,학교,성금)</t>
  </si>
  <si>
    <t>자녀세액공제</t>
  </si>
  <si>
    <t>3. 우리사주조합 기부금</t>
  </si>
  <si>
    <t>6세이하자녀공제</t>
  </si>
  <si>
    <t>2자녀부터 1명당 15만원</t>
  </si>
  <si>
    <t>4. 지정기부금 (종교단체 제외, 노조비)</t>
  </si>
  <si>
    <t>출산,입양 공제</t>
  </si>
  <si>
    <t>5. 지정기부금 (종교단체)</t>
  </si>
  <si>
    <t>연금계좌세액공제</t>
  </si>
  <si>
    <t>공제율 : 총소득 5500만원 이하 15%, 초과 12%</t>
  </si>
  <si>
    <t>그밖의
소득공제</t>
  </si>
  <si>
    <t>특
별
세
액
공
제</t>
  </si>
  <si>
    <t>보장성보험</t>
  </si>
  <si>
    <t>공제대상 금액의 12% (단 장애인 보장성 보험은 15%)</t>
  </si>
  <si>
    <t>의료비 공제대상 금액의</t>
  </si>
  <si>
    <t>중소기업창업투자조합 출자등 소득공제</t>
  </si>
  <si>
    <t>교육비</t>
  </si>
  <si>
    <t>교육비 공제대상 금액의</t>
  </si>
  <si>
    <t>정치기부금</t>
  </si>
  <si>
    <t>≤10만원 100/110, ≤3000만원 15% 초과시 25%</t>
  </si>
  <si>
    <t>기부금</t>
  </si>
  <si>
    <t>2000만원 이하 15%, 초과시 30%</t>
  </si>
  <si>
    <t>장기집합투자증권저축 소득공제</t>
  </si>
  <si>
    <t>한도액</t>
  </si>
  <si>
    <t>표준세액공제</t>
  </si>
  <si>
    <t>특별소득공제 및 특별세액공제를 신청하지 않은 경우</t>
  </si>
  <si>
    <t>총급여의</t>
  </si>
  <si>
    <t>납세조합공제</t>
  </si>
  <si>
    <t>원천징수 제외자가 납세조합에 가입 원천징수한 경우</t>
  </si>
  <si>
    <t>주택차입금상환액</t>
  </si>
  <si>
    <t>95.11~97.12 미분양주택 취득시 차입한 대출금 이자 상환액</t>
  </si>
  <si>
    <t>외국납부세액공제</t>
  </si>
  <si>
    <t>원천소득에 대한 외국 납부 세액이 있을 경우</t>
  </si>
  <si>
    <t>월세액세액공제</t>
  </si>
  <si>
    <t>결정 세액</t>
  </si>
  <si>
    <t>추가 징수 소득세</t>
  </si>
  <si>
    <t>대중교통 사용액</t>
  </si>
  <si>
    <t>추가 징수 주민세</t>
  </si>
  <si>
    <t>농어촌특별세</t>
  </si>
  <si>
    <t>연금저축 ('01 이후)</t>
  </si>
  <si>
    <t>목록4</t>
  </si>
  <si>
    <t>둘째</t>
  </si>
  <si>
    <t>첫째</t>
  </si>
  <si>
    <t>셋째이상</t>
  </si>
  <si>
    <t>최초 대상자</t>
  </si>
  <si>
    <t xml:space="preserve">   장애인 및 난임 시술비</t>
  </si>
  <si>
    <t>난임시술비</t>
  </si>
  <si>
    <t>공제율</t>
  </si>
  <si>
    <t>공납금</t>
  </si>
  <si>
    <t>교복구입비</t>
  </si>
  <si>
    <t>교복구입비</t>
  </si>
  <si>
    <t>체험학습비</t>
  </si>
  <si>
    <t>통합한도</t>
  </si>
  <si>
    <t>체험학습비</t>
  </si>
  <si>
    <r>
      <t xml:space="preserve">대학생
</t>
    </r>
    <r>
      <rPr>
        <sz val="8"/>
        <rFont val="나눔고딕"/>
        <family val="3"/>
      </rPr>
      <t>교육비,국외교육비</t>
    </r>
    <r>
      <rPr>
        <b/>
        <sz val="8"/>
        <rFont val="나눔고딕"/>
        <family val="3"/>
      </rPr>
      <t xml:space="preserve">
</t>
    </r>
    <r>
      <rPr>
        <sz val="8"/>
        <rFont val="나눔고딕"/>
        <family val="3"/>
      </rPr>
      <t>동거중인 동생,처남,처제
취업,취학,질병을 사유로 일시적 별거도 공제 가능</t>
    </r>
  </si>
  <si>
    <r>
      <rPr>
        <b/>
        <sz val="8"/>
        <rFont val="나눔고딕"/>
        <family val="3"/>
      </rPr>
      <t>초중고생</t>
    </r>
    <r>
      <rPr>
        <sz val="8"/>
        <rFont val="나눔고딕"/>
        <family val="3"/>
      </rPr>
      <t xml:space="preserve">
교복:50만원
체험학습:30만원
(어학연수제외)
</t>
    </r>
    <r>
      <rPr>
        <b/>
        <sz val="8"/>
        <rFont val="나눔고딕"/>
        <family val="3"/>
      </rPr>
      <t>유치원,보육원,취학전</t>
    </r>
    <r>
      <rPr>
        <sz val="8"/>
        <rFont val="나눔고딕"/>
        <family val="3"/>
      </rPr>
      <t xml:space="preserve">
어린이집/유치원
방과후 수업료,학원비</t>
    </r>
  </si>
  <si>
    <t>고시원 추가, 배우자등이 체결한 계약</t>
  </si>
  <si>
    <t>중소기업 취업자 세액감면</t>
  </si>
  <si>
    <t>해당없음</t>
  </si>
  <si>
    <t>기본공제한도</t>
  </si>
  <si>
    <t>2018년 근로소득 원천 징수 영수증</t>
  </si>
  <si>
    <t>2018년 소득 명세</t>
  </si>
  <si>
    <t>특허보상</t>
  </si>
  <si>
    <t>기타비과세</t>
  </si>
  <si>
    <r>
      <t xml:space="preserve">본인 </t>
    </r>
    <r>
      <rPr>
        <sz val="8"/>
        <rFont val="나눔고딕"/>
        <family val="3"/>
      </rPr>
      <t>(학자금 대출 원리금 상환액)</t>
    </r>
  </si>
  <si>
    <r>
      <t xml:space="preserve">월세액 공제 </t>
    </r>
    <r>
      <rPr>
        <sz val="8"/>
        <rFont val="나눔고딕"/>
        <family val="3"/>
      </rPr>
      <t>(무주택,총급여 7,000이하)</t>
    </r>
  </si>
  <si>
    <t xml:space="preserve">※ 급여항목에는 비과세소득을 포함한 총급여를 입력, 비과세소득중, 연장, 야간, 휴일 근로수당은 생산직 근로자이며 전년도 총급여가 2500만원이하, 월 정액 급여150만원이하만 해당합니다.
    비과세소득 : 국외근로수당(한국국제보건의료재단포함) 월100만원, 해외 건설노동자,원양,외항선원는 월 300만원, 연구활동비,취재수당,벽지수당,이주수당 월 20만원, </t>
  </si>
  <si>
    <t>2명↓:15만원, 2인초과시 인당 30만원</t>
  </si>
  <si>
    <t xml:space="preserve">   안경비등은 인당 입력</t>
  </si>
  <si>
    <t xml:space="preserve">   건강보험산정특례자</t>
  </si>
  <si>
    <r>
      <t>개인 투자금의 30%,</t>
    </r>
    <r>
      <rPr>
        <sz val="8"/>
        <color indexed="10"/>
        <rFont val="나눔고딕"/>
        <family val="3"/>
      </rPr>
      <t>70%</t>
    </r>
    <r>
      <rPr>
        <sz val="8"/>
        <rFont val="나눔고딕"/>
        <family val="3"/>
      </rPr>
      <t>,100%</t>
    </r>
  </si>
  <si>
    <t>18년 이후 투자분</t>
  </si>
  <si>
    <t>16~17년 투자분</t>
  </si>
  <si>
    <t>벤처수익증권 투자</t>
  </si>
  <si>
    <t>벤처기업 등의 우리사주조합 소득공제</t>
  </si>
  <si>
    <t>현금영수증</t>
  </si>
  <si>
    <t>신용카드</t>
  </si>
  <si>
    <t>체크카드</t>
  </si>
  <si>
    <t>전통시장 사용액</t>
  </si>
  <si>
    <t>일반 사용액</t>
  </si>
  <si>
    <t>신용카드 사용액 (전통시장등 제외)</t>
  </si>
  <si>
    <t>대중교통사용분 (신용,현금,체크)</t>
  </si>
  <si>
    <t>전통시장사용분 (신용,현금,체크)</t>
  </si>
  <si>
    <t>도서 공연 사용분 (신용,현금,체크)</t>
  </si>
  <si>
    <t>도서 공연 사용액</t>
  </si>
  <si>
    <t>현금,체크카드 사용액 (전통시장등 제외)</t>
  </si>
  <si>
    <t>추가공제액</t>
  </si>
  <si>
    <t>최저사용공제액</t>
  </si>
  <si>
    <t>공제금액</t>
  </si>
  <si>
    <t>2018.1.1~2018.12.31</t>
  </si>
  <si>
    <r>
      <rPr>
        <b/>
        <sz val="10"/>
        <rFont val="나눔고딕"/>
        <family val="3"/>
      </rPr>
      <t xml:space="preserve">보장성보험료 납입액
</t>
    </r>
    <r>
      <rPr>
        <sz val="8"/>
        <color indexed="10"/>
        <rFont val="나눔고딕"/>
        <family val="3"/>
      </rPr>
      <t>(임차보증보험가능)</t>
    </r>
    <r>
      <rPr>
        <sz val="8"/>
        <rFont val="나눔고딕"/>
        <family val="3"/>
      </rPr>
      <t xml:space="preserve"> (소득, 나이요건 있음)</t>
    </r>
  </si>
  <si>
    <r>
      <rPr>
        <b/>
        <sz val="10"/>
        <rFont val="나눔고딕"/>
        <family val="3"/>
      </rPr>
      <t>신용카드등
소득공제</t>
    </r>
    <r>
      <rPr>
        <sz val="10"/>
        <rFont val="나눔고딕"/>
        <family val="3"/>
      </rPr>
      <t xml:space="preserve">
</t>
    </r>
    <r>
      <rPr>
        <sz val="8"/>
        <rFont val="나눔고딕"/>
        <family val="3"/>
      </rPr>
      <t xml:space="preserve">의료비 중복가능
중고차 구입액의 10%
나이요건 없음
소득요건 있음
적용기간
</t>
    </r>
    <r>
      <rPr>
        <sz val="8"/>
        <color indexed="10"/>
        <rFont val="나눔고딕"/>
        <family val="3"/>
      </rPr>
      <t>'19.12.31</t>
    </r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</si>
</sst>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00_);[Red]\(#,##0.0000\)"/>
    <numFmt numFmtId="179" formatCode="0.0%"/>
    <numFmt numFmtId="180" formatCode="&quot;인&quot;&quot;당&quot;\ #,###\ &quot;만&quot;&quot;원&quot;"/>
    <numFmt numFmtId="181" formatCode="&quot;인&quot;&quot;당&quot;\ #,###&quot;원&quot;"/>
    <numFmt numFmtId="182" formatCode="&quot;한도 : &quot;\ #,###\ &quot;원&quot;"/>
    <numFmt numFmtId="183" formatCode="&quot;투자금액의 &quot;\ #,###\ &quot;%&quot;"/>
    <numFmt numFmtId="184" formatCode="&quot;해당없음 (&quot;0&quot;%)&quot;"/>
    <numFmt numFmtId="185" formatCode="0&quot;명&quot;"/>
    <numFmt numFmtId="186" formatCode="#,###&quot;%&quot;"/>
    <numFmt numFmtId="187" formatCode="0.000%"/>
    <numFmt numFmtId="188" formatCode="&quot;한도:&quot;#,###\ &quot;원&quot;"/>
  </numFmts>
  <fonts count="6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b/>
      <sz val="12"/>
      <name val="나눔고딕"/>
      <family val="3"/>
    </font>
    <font>
      <sz val="10"/>
      <name val="나눔고딕"/>
      <family val="3"/>
    </font>
    <font>
      <b/>
      <sz val="10"/>
      <name val="나눔고딕"/>
      <family val="3"/>
    </font>
    <font>
      <sz val="9"/>
      <name val="나눔고딕"/>
      <family val="3"/>
    </font>
    <font>
      <b/>
      <sz val="11"/>
      <name val="나눔고딕"/>
      <family val="3"/>
    </font>
    <font>
      <b/>
      <sz val="10"/>
      <color indexed="10"/>
      <name val="나눔고딕"/>
      <family val="3"/>
    </font>
    <font>
      <b/>
      <sz val="11"/>
      <color indexed="10"/>
      <name val="나눔고딕"/>
      <family val="3"/>
    </font>
    <font>
      <sz val="8"/>
      <name val="나눔고딕"/>
      <family val="3"/>
    </font>
    <font>
      <sz val="10"/>
      <color indexed="30"/>
      <name val="나눔고딕"/>
      <family val="3"/>
    </font>
    <font>
      <sz val="11"/>
      <name val="나눔고딕"/>
      <family val="3"/>
    </font>
    <font>
      <b/>
      <sz val="8"/>
      <name val="나눔고딕"/>
      <family val="3"/>
    </font>
    <font>
      <sz val="8"/>
      <color indexed="10"/>
      <name val="나눔고딕"/>
      <family val="3"/>
    </font>
    <font>
      <b/>
      <sz val="9"/>
      <name val="나눔고딕"/>
      <family val="3"/>
    </font>
    <font>
      <sz val="10"/>
      <color indexed="10"/>
      <name val="나눔고딕"/>
      <family val="3"/>
    </font>
    <font>
      <sz val="9"/>
      <color indexed="10"/>
      <name val="나눔고딕"/>
      <family val="3"/>
    </font>
    <font>
      <sz val="11"/>
      <color indexed="10"/>
      <name val="나눔고딕"/>
      <family val="3"/>
    </font>
    <font>
      <strike/>
      <sz val="10"/>
      <color indexed="10"/>
      <name val="나눔고딕"/>
      <family val="3"/>
    </font>
    <font>
      <strike/>
      <sz val="9"/>
      <color indexed="10"/>
      <name val="나눔고딕"/>
      <family val="3"/>
    </font>
    <font>
      <b/>
      <sz val="9"/>
      <color indexed="10"/>
      <name val="나눔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나눔고딕"/>
      <family val="3"/>
    </font>
    <font>
      <sz val="10"/>
      <color rgb="FF0070C0"/>
      <name val="나눔고딕"/>
      <family val="3"/>
    </font>
    <font>
      <sz val="8"/>
      <color rgb="FFFF0000"/>
      <name val="나눔고딕"/>
      <family val="3"/>
    </font>
    <font>
      <sz val="11"/>
      <color rgb="FFFF0000"/>
      <name val="나눔고딕"/>
      <family val="3"/>
    </font>
    <font>
      <b/>
      <sz val="11"/>
      <color rgb="FFFF0000"/>
      <name val="나눔고딕"/>
      <family val="3"/>
    </font>
    <font>
      <sz val="9"/>
      <color rgb="FFFF0000"/>
      <name val="나눔고딕"/>
      <family val="3"/>
    </font>
    <font>
      <b/>
      <sz val="10"/>
      <color rgb="FFFF0000"/>
      <name val="나눔고딕"/>
      <family val="3"/>
    </font>
    <font>
      <strike/>
      <sz val="10"/>
      <color rgb="FFFF0000"/>
      <name val="나눔고딕"/>
      <family val="3"/>
    </font>
    <font>
      <strike/>
      <sz val="9"/>
      <color rgb="FFFF0000"/>
      <name val="나눔고딕"/>
      <family val="3"/>
    </font>
    <font>
      <b/>
      <sz val="9"/>
      <color rgb="FFFF0000"/>
      <name val="나눔고딕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 style="thin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medium"/>
      <top/>
      <bottom style="thin"/>
    </border>
    <border>
      <left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hair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hair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 style="hair"/>
      <right style="thin"/>
      <top style="thin"/>
      <bottom style="hair"/>
    </border>
    <border>
      <left style="thin"/>
      <right style="hair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/>
      <top style="thin"/>
      <bottom style="hair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medium"/>
      <top style="thin"/>
      <bottom style="thin"/>
    </border>
    <border>
      <left/>
      <right style="medium"/>
      <top style="hair"/>
      <bottom/>
    </border>
    <border>
      <left/>
      <right/>
      <top style="thin"/>
      <bottom/>
    </border>
    <border>
      <left style="thin"/>
      <right style="hair"/>
      <top style="double"/>
      <bottom style="hair"/>
    </border>
    <border diagonalDown="1">
      <left style="thin"/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/>
      <top style="hair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 style="thin"/>
      <bottom style="thin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hair"/>
      <top/>
      <bottom style="hair"/>
    </border>
    <border>
      <left style="thin"/>
      <right/>
      <top style="thin"/>
      <bottom/>
    </border>
    <border>
      <left/>
      <right style="hair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medium"/>
      <right/>
      <top style="double"/>
      <bottom/>
    </border>
    <border>
      <left/>
      <right style="thin"/>
      <top style="double"/>
      <bottom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medium"/>
      <right style="thin"/>
      <top style="thin"/>
      <bottom style="hair"/>
    </border>
    <border>
      <left style="hair"/>
      <right/>
      <top style="hair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double"/>
      <bottom/>
    </border>
    <border>
      <left style="thin"/>
      <right style="medium"/>
      <top style="hair"/>
      <bottom/>
    </border>
    <border>
      <left/>
      <right/>
      <top style="hair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>
      <alignment vertical="center"/>
      <protection/>
    </xf>
  </cellStyleXfs>
  <cellXfs count="618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 applyProtection="1">
      <alignment horizontal="right" vertical="center"/>
      <protection/>
    </xf>
    <xf numFmtId="177" fontId="6" fillId="33" borderId="11" xfId="0" applyNumberFormat="1" applyFont="1" applyFill="1" applyBorder="1" applyAlignment="1" applyProtection="1">
      <alignment horizontal="right" vertical="center"/>
      <protection/>
    </xf>
    <xf numFmtId="177" fontId="6" fillId="33" borderId="11" xfId="0" applyNumberFormat="1" applyFont="1" applyFill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Alignment="1">
      <alignment horizontal="center" vertical="center"/>
    </xf>
    <xf numFmtId="177" fontId="6" fillId="33" borderId="12" xfId="0" applyNumberFormat="1" applyFont="1" applyFill="1" applyBorder="1" applyAlignment="1" applyProtection="1">
      <alignment horizontal="right" vertical="center"/>
      <protection locked="0"/>
    </xf>
    <xf numFmtId="177" fontId="6" fillId="33" borderId="13" xfId="0" applyNumberFormat="1" applyFont="1" applyFill="1" applyBorder="1" applyAlignment="1" applyProtection="1">
      <alignment horizontal="right" vertical="center"/>
      <protection/>
    </xf>
    <xf numFmtId="177" fontId="6" fillId="33" borderId="13" xfId="0" applyNumberFormat="1" applyFont="1" applyFill="1" applyBorder="1" applyAlignment="1" applyProtection="1">
      <alignment horizontal="right" vertical="center"/>
      <protection locked="0"/>
    </xf>
    <xf numFmtId="177" fontId="6" fillId="33" borderId="14" xfId="0" applyNumberFormat="1" applyFont="1" applyFill="1" applyBorder="1" applyAlignment="1" applyProtection="1">
      <alignment horizontal="right" vertical="center"/>
      <protection locked="0"/>
    </xf>
    <xf numFmtId="177" fontId="6" fillId="33" borderId="15" xfId="0" applyNumberFormat="1" applyFont="1" applyFill="1" applyBorder="1" applyAlignment="1" applyProtection="1">
      <alignment horizontal="right" vertical="center"/>
      <protection/>
    </xf>
    <xf numFmtId="177" fontId="6" fillId="33" borderId="15" xfId="0" applyNumberFormat="1" applyFont="1" applyFill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Alignment="1">
      <alignment vertical="center"/>
    </xf>
    <xf numFmtId="0" fontId="14" fillId="34" borderId="11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 horizontal="center" vertical="center"/>
    </xf>
    <xf numFmtId="185" fontId="14" fillId="35" borderId="0" xfId="0" applyNumberFormat="1" applyFont="1" applyFill="1" applyAlignment="1">
      <alignment horizontal="center" vertical="center"/>
    </xf>
    <xf numFmtId="184" fontId="6" fillId="33" borderId="0" xfId="0" applyNumberFormat="1" applyFont="1" applyFill="1" applyAlignment="1">
      <alignment horizontal="center" vertical="center"/>
    </xf>
    <xf numFmtId="9" fontId="6" fillId="33" borderId="0" xfId="0" applyNumberFormat="1" applyFont="1" applyFill="1" applyAlignment="1">
      <alignment horizontal="center" vertical="center"/>
    </xf>
    <xf numFmtId="0" fontId="7" fillId="35" borderId="16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177" fontId="9" fillId="35" borderId="16" xfId="0" applyNumberFormat="1" applyFont="1" applyFill="1" applyBorder="1" applyAlignment="1">
      <alignment horizontal="right" vertical="center" indent="3"/>
    </xf>
    <xf numFmtId="176" fontId="12" fillId="35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178" fontId="6" fillId="33" borderId="0" xfId="0" applyNumberFormat="1" applyFont="1" applyFill="1" applyAlignment="1">
      <alignment horizontal="center" vertical="center"/>
    </xf>
    <xf numFmtId="176" fontId="6" fillId="33" borderId="11" xfId="0" applyNumberFormat="1" applyFont="1" applyFill="1" applyBorder="1" applyAlignment="1" applyProtection="1">
      <alignment horizontal="right" vertical="center"/>
      <protection locked="0"/>
    </xf>
    <xf numFmtId="176" fontId="6" fillId="33" borderId="19" xfId="0" applyNumberFormat="1" applyFont="1" applyFill="1" applyBorder="1" applyAlignment="1" applyProtection="1">
      <alignment horizontal="right" vertical="center"/>
      <protection locked="0"/>
    </xf>
    <xf numFmtId="176" fontId="6" fillId="33" borderId="20" xfId="0" applyNumberFormat="1" applyFont="1" applyFill="1" applyBorder="1" applyAlignment="1" applyProtection="1">
      <alignment horizontal="right" vertical="center"/>
      <protection locked="0"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5" xfId="0" applyNumberFormat="1" applyFont="1" applyFill="1" applyBorder="1" applyAlignment="1" applyProtection="1">
      <alignment horizontal="right" vertical="center"/>
      <protection locked="0"/>
    </xf>
    <xf numFmtId="0" fontId="6" fillId="35" borderId="16" xfId="0" applyFont="1" applyFill="1" applyBorder="1" applyAlignment="1">
      <alignment horizontal="center" vertical="center"/>
    </xf>
    <xf numFmtId="176" fontId="6" fillId="35" borderId="16" xfId="0" applyNumberFormat="1" applyFont="1" applyFill="1" applyBorder="1" applyAlignment="1" applyProtection="1">
      <alignment vertical="center"/>
      <protection locked="0"/>
    </xf>
    <xf numFmtId="176" fontId="8" fillId="35" borderId="16" xfId="0" applyNumberFormat="1" applyFont="1" applyFill="1" applyBorder="1" applyAlignment="1">
      <alignment horizontal="right" vertical="center"/>
    </xf>
    <xf numFmtId="9" fontId="6" fillId="35" borderId="16" xfId="0" applyNumberFormat="1" applyFont="1" applyFill="1" applyBorder="1" applyAlignment="1">
      <alignment horizontal="left" vertical="center"/>
    </xf>
    <xf numFmtId="176" fontId="6" fillId="35" borderId="21" xfId="0" applyNumberFormat="1" applyFont="1" applyFill="1" applyBorder="1" applyAlignment="1">
      <alignment horizontal="right" vertical="center"/>
    </xf>
    <xf numFmtId="176" fontId="6" fillId="33" borderId="22" xfId="0" applyNumberFormat="1" applyFont="1" applyFill="1" applyBorder="1" applyAlignment="1" applyProtection="1">
      <alignment horizontal="right" vertical="center"/>
      <protection locked="0"/>
    </xf>
    <xf numFmtId="0" fontId="14" fillId="33" borderId="13" xfId="0" applyFont="1" applyFill="1" applyBorder="1" applyAlignment="1">
      <alignment horizontal="center" vertical="center" wrapText="1"/>
    </xf>
    <xf numFmtId="185" fontId="6" fillId="33" borderId="13" xfId="0" applyNumberFormat="1" applyFont="1" applyFill="1" applyBorder="1" applyAlignment="1">
      <alignment horizontal="center" vertical="center" wrapText="1"/>
    </xf>
    <xf numFmtId="185" fontId="6" fillId="33" borderId="23" xfId="0" applyNumberFormat="1" applyFont="1" applyFill="1" applyBorder="1" applyAlignment="1">
      <alignment horizontal="center" vertical="center" wrapText="1"/>
    </xf>
    <xf numFmtId="185" fontId="6" fillId="33" borderId="24" xfId="0" applyNumberFormat="1" applyFont="1" applyFill="1" applyBorder="1" applyAlignment="1">
      <alignment horizontal="center" vertical="center" wrapText="1"/>
    </xf>
    <xf numFmtId="176" fontId="6" fillId="33" borderId="25" xfId="0" applyNumberFormat="1" applyFont="1" applyFill="1" applyBorder="1" applyAlignment="1" applyProtection="1">
      <alignment horizontal="right" vertical="center"/>
      <protection locked="0"/>
    </xf>
    <xf numFmtId="185" fontId="6" fillId="33" borderId="11" xfId="0" applyNumberFormat="1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176" fontId="6" fillId="33" borderId="24" xfId="0" applyNumberFormat="1" applyFont="1" applyFill="1" applyBorder="1" applyAlignment="1" applyProtection="1">
      <alignment horizontal="right" vertical="center"/>
      <protection locked="0"/>
    </xf>
    <xf numFmtId="176" fontId="6" fillId="33" borderId="23" xfId="0" applyNumberFormat="1" applyFont="1" applyFill="1" applyBorder="1" applyAlignment="1" applyProtection="1">
      <alignment horizontal="right" vertical="center"/>
      <protection locked="0"/>
    </xf>
    <xf numFmtId="176" fontId="6" fillId="33" borderId="26" xfId="0" applyNumberFormat="1" applyFont="1" applyFill="1" applyBorder="1" applyAlignment="1" applyProtection="1">
      <alignment horizontal="right" vertical="center"/>
      <protection locked="0"/>
    </xf>
    <xf numFmtId="185" fontId="8" fillId="35" borderId="23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right" vertical="center"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24" xfId="0" applyNumberFormat="1" applyFont="1" applyFill="1" applyBorder="1" applyAlignment="1">
      <alignment horizontal="right" vertical="center"/>
    </xf>
    <xf numFmtId="176" fontId="6" fillId="33" borderId="22" xfId="0" applyNumberFormat="1" applyFont="1" applyFill="1" applyBorder="1" applyAlignment="1">
      <alignment horizontal="right" vertical="center"/>
    </xf>
    <xf numFmtId="176" fontId="57" fillId="33" borderId="13" xfId="0" applyNumberFormat="1" applyFont="1" applyFill="1" applyBorder="1" applyAlignment="1" applyProtection="1">
      <alignment horizontal="right" vertical="center"/>
      <protection locked="0"/>
    </xf>
    <xf numFmtId="176" fontId="57" fillId="33" borderId="15" xfId="0" applyNumberFormat="1" applyFont="1" applyFill="1" applyBorder="1" applyAlignment="1" applyProtection="1">
      <alignment horizontal="right" vertical="center"/>
      <protection locked="0"/>
    </xf>
    <xf numFmtId="176" fontId="58" fillId="33" borderId="13" xfId="0" applyNumberFormat="1" applyFont="1" applyFill="1" applyBorder="1" applyAlignment="1" applyProtection="1">
      <alignment horizontal="right" vertical="center"/>
      <protection locked="0"/>
    </xf>
    <xf numFmtId="186" fontId="6" fillId="33" borderId="0" xfId="0" applyNumberFormat="1" applyFont="1" applyFill="1" applyAlignment="1">
      <alignment horizontal="center" vertical="center"/>
    </xf>
    <xf numFmtId="176" fontId="6" fillId="35" borderId="10" xfId="0" applyNumberFormat="1" applyFont="1" applyFill="1" applyBorder="1" applyAlignment="1">
      <alignment vertical="center"/>
    </xf>
    <xf numFmtId="176" fontId="6" fillId="33" borderId="12" xfId="0" applyNumberFormat="1" applyFont="1" applyFill="1" applyBorder="1" applyAlignment="1" applyProtection="1">
      <alignment horizontal="right" vertical="center"/>
      <protection locked="0"/>
    </xf>
    <xf numFmtId="176" fontId="6" fillId="33" borderId="27" xfId="0" applyNumberFormat="1" applyFont="1" applyFill="1" applyBorder="1" applyAlignment="1" applyProtection="1">
      <alignment horizontal="right" vertical="center"/>
      <protection locked="0"/>
    </xf>
    <xf numFmtId="176" fontId="6" fillId="33" borderId="28" xfId="0" applyNumberFormat="1" applyFont="1" applyFill="1" applyBorder="1" applyAlignment="1" applyProtection="1">
      <alignment horizontal="right" vertical="center"/>
      <protection locked="0"/>
    </xf>
    <xf numFmtId="176" fontId="6" fillId="33" borderId="11" xfId="0" applyNumberFormat="1" applyFont="1" applyFill="1" applyBorder="1" applyAlignment="1" applyProtection="1">
      <alignment horizontal="center" vertical="center"/>
      <protection locked="0"/>
    </xf>
    <xf numFmtId="176" fontId="6" fillId="33" borderId="25" xfId="0" applyNumberFormat="1" applyFont="1" applyFill="1" applyBorder="1" applyAlignment="1" applyProtection="1">
      <alignment horizontal="center" vertical="center"/>
      <protection locked="0"/>
    </xf>
    <xf numFmtId="176" fontId="6" fillId="33" borderId="13" xfId="0" applyNumberFormat="1" applyFont="1" applyFill="1" applyBorder="1" applyAlignment="1" applyProtection="1">
      <alignment horizontal="center" vertical="center"/>
      <protection locked="0"/>
    </xf>
    <xf numFmtId="176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6" borderId="29" xfId="0" applyFont="1" applyFill="1" applyBorder="1" applyAlignment="1" applyProtection="1">
      <alignment horizontal="center" vertical="center"/>
      <protection locked="0"/>
    </xf>
    <xf numFmtId="0" fontId="6" fillId="36" borderId="30" xfId="0" applyFont="1" applyFill="1" applyBorder="1" applyAlignment="1" applyProtection="1">
      <alignment horizontal="center" vertical="center"/>
      <protection locked="0"/>
    </xf>
    <xf numFmtId="0" fontId="6" fillId="36" borderId="31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176" fontId="6" fillId="36" borderId="33" xfId="0" applyNumberFormat="1" applyFont="1" applyFill="1" applyBorder="1" applyAlignment="1">
      <alignment horizontal="center" vertical="center"/>
    </xf>
    <xf numFmtId="176" fontId="6" fillId="36" borderId="20" xfId="0" applyNumberFormat="1" applyFont="1" applyFill="1" applyBorder="1" applyAlignment="1">
      <alignment horizontal="center" vertical="center"/>
    </xf>
    <xf numFmtId="176" fontId="6" fillId="36" borderId="28" xfId="0" applyNumberFormat="1" applyFont="1" applyFill="1" applyBorder="1" applyAlignment="1">
      <alignment horizontal="center" vertical="center"/>
    </xf>
    <xf numFmtId="176" fontId="7" fillId="36" borderId="34" xfId="0" applyNumberFormat="1" applyFont="1" applyFill="1" applyBorder="1" applyAlignment="1">
      <alignment horizontal="right" vertical="center"/>
    </xf>
    <xf numFmtId="176" fontId="7" fillId="36" borderId="35" xfId="0" applyNumberFormat="1" applyFont="1" applyFill="1" applyBorder="1" applyAlignment="1">
      <alignment horizontal="right" vertical="center"/>
    </xf>
    <xf numFmtId="176" fontId="7" fillId="36" borderId="36" xfId="0" applyNumberFormat="1" applyFont="1" applyFill="1" applyBorder="1" applyAlignment="1">
      <alignment horizontal="right" vertical="center"/>
    </xf>
    <xf numFmtId="176" fontId="7" fillId="36" borderId="37" xfId="0" applyNumberFormat="1" applyFont="1" applyFill="1" applyBorder="1" applyAlignment="1">
      <alignment horizontal="center" vertical="center"/>
    </xf>
    <xf numFmtId="176" fontId="12" fillId="36" borderId="21" xfId="0" applyNumberFormat="1" applyFont="1" applyFill="1" applyBorder="1" applyAlignment="1">
      <alignment horizontal="center" vertical="center"/>
    </xf>
    <xf numFmtId="176" fontId="12" fillId="36" borderId="38" xfId="0" applyNumberFormat="1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center" vertical="center"/>
    </xf>
    <xf numFmtId="176" fontId="6" fillId="36" borderId="25" xfId="0" applyNumberFormat="1" applyFont="1" applyFill="1" applyBorder="1" applyAlignment="1" applyProtection="1">
      <alignment vertical="center" wrapText="1"/>
      <protection locked="0"/>
    </xf>
    <xf numFmtId="176" fontId="6" fillId="36" borderId="13" xfId="0" applyNumberFormat="1" applyFont="1" applyFill="1" applyBorder="1" applyAlignment="1" applyProtection="1">
      <alignment vertical="center" wrapText="1"/>
      <protection locked="0"/>
    </xf>
    <xf numFmtId="0" fontId="6" fillId="36" borderId="27" xfId="0" applyFont="1" applyFill="1" applyBorder="1" applyAlignment="1">
      <alignment horizontal="center" vertical="center"/>
    </xf>
    <xf numFmtId="176" fontId="6" fillId="36" borderId="23" xfId="0" applyNumberFormat="1" applyFont="1" applyFill="1" applyBorder="1" applyAlignment="1" applyProtection="1">
      <alignment vertical="center" wrapText="1"/>
      <protection locked="0"/>
    </xf>
    <xf numFmtId="176" fontId="6" fillId="36" borderId="24" xfId="0" applyNumberFormat="1" applyFont="1" applyFill="1" applyBorder="1" applyAlignment="1" applyProtection="1">
      <alignment vertical="center" wrapText="1"/>
      <protection locked="0"/>
    </xf>
    <xf numFmtId="176" fontId="6" fillId="36" borderId="11" xfId="0" applyNumberFormat="1" applyFont="1" applyFill="1" applyBorder="1" applyAlignment="1" applyProtection="1">
      <alignment vertical="center" wrapText="1"/>
      <protection locked="0"/>
    </xf>
    <xf numFmtId="180" fontId="12" fillId="36" borderId="40" xfId="0" applyNumberFormat="1" applyFont="1" applyFill="1" applyBorder="1" applyAlignment="1">
      <alignment horizontal="left" vertical="center" wrapText="1"/>
    </xf>
    <xf numFmtId="180" fontId="12" fillId="36" borderId="41" xfId="0" applyNumberFormat="1" applyFont="1" applyFill="1" applyBorder="1" applyAlignment="1">
      <alignment horizontal="left" vertical="center" wrapText="1"/>
    </xf>
    <xf numFmtId="0" fontId="6" fillId="36" borderId="38" xfId="0" applyFont="1" applyFill="1" applyBorder="1" applyAlignment="1">
      <alignment horizontal="center" vertical="center" wrapText="1"/>
    </xf>
    <xf numFmtId="176" fontId="6" fillId="36" borderId="22" xfId="0" applyNumberFormat="1" applyFont="1" applyFill="1" applyBorder="1" applyAlignment="1" applyProtection="1">
      <alignment vertical="center" wrapText="1"/>
      <protection locked="0"/>
    </xf>
    <xf numFmtId="176" fontId="6" fillId="36" borderId="26" xfId="0" applyNumberFormat="1" applyFont="1" applyFill="1" applyBorder="1" applyAlignment="1">
      <alignment vertical="center" wrapText="1"/>
    </xf>
    <xf numFmtId="10" fontId="12" fillId="36" borderId="26" xfId="0" applyNumberFormat="1" applyFont="1" applyFill="1" applyBorder="1" applyAlignment="1">
      <alignment vertical="center" wrapText="1"/>
    </xf>
    <xf numFmtId="0" fontId="6" fillId="36" borderId="11" xfId="0" applyFont="1" applyFill="1" applyBorder="1" applyAlignment="1">
      <alignment horizontal="center" vertical="center" wrapText="1"/>
    </xf>
    <xf numFmtId="176" fontId="6" fillId="36" borderId="11" xfId="0" applyNumberFormat="1" applyFont="1" applyFill="1" applyBorder="1" applyAlignment="1">
      <alignment vertical="center" wrapText="1"/>
    </xf>
    <xf numFmtId="0" fontId="8" fillId="36" borderId="13" xfId="0" applyFont="1" applyFill="1" applyBorder="1" applyAlignment="1">
      <alignment horizontal="center" vertical="center" wrapText="1"/>
    </xf>
    <xf numFmtId="176" fontId="6" fillId="36" borderId="13" xfId="0" applyNumberFormat="1" applyFont="1" applyFill="1" applyBorder="1" applyAlignment="1">
      <alignment vertical="center" wrapText="1"/>
    </xf>
    <xf numFmtId="0" fontId="6" fillId="36" borderId="24" xfId="0" applyFont="1" applyFill="1" applyBorder="1" applyAlignment="1">
      <alignment horizontal="center" vertical="center" wrapText="1"/>
    </xf>
    <xf numFmtId="176" fontId="6" fillId="36" borderId="24" xfId="0" applyNumberFormat="1" applyFont="1" applyFill="1" applyBorder="1" applyAlignment="1">
      <alignment vertical="center" wrapText="1"/>
    </xf>
    <xf numFmtId="10" fontId="12" fillId="36" borderId="24" xfId="0" applyNumberFormat="1" applyFont="1" applyFill="1" applyBorder="1" applyAlignment="1">
      <alignment vertical="center" wrapText="1"/>
    </xf>
    <xf numFmtId="176" fontId="6" fillId="36" borderId="22" xfId="0" applyNumberFormat="1" applyFont="1" applyFill="1" applyBorder="1" applyAlignment="1">
      <alignment vertical="center" wrapText="1"/>
    </xf>
    <xf numFmtId="176" fontId="6" fillId="35" borderId="42" xfId="0" applyNumberFormat="1" applyFont="1" applyFill="1" applyBorder="1" applyAlignment="1">
      <alignment vertical="center" wrapText="1"/>
    </xf>
    <xf numFmtId="176" fontId="12" fillId="36" borderId="10" xfId="0" applyNumberFormat="1" applyFont="1" applyFill="1" applyBorder="1" applyAlignment="1">
      <alignment horizontal="center" vertical="center"/>
    </xf>
    <xf numFmtId="176" fontId="12" fillId="36" borderId="33" xfId="0" applyNumberFormat="1" applyFont="1" applyFill="1" applyBorder="1" applyAlignment="1">
      <alignment horizontal="center" vertical="center"/>
    </xf>
    <xf numFmtId="176" fontId="12" fillId="36" borderId="43" xfId="0" applyNumberFormat="1" applyFont="1" applyFill="1" applyBorder="1" applyAlignment="1">
      <alignment horizontal="center" vertical="center"/>
    </xf>
    <xf numFmtId="176" fontId="6" fillId="33" borderId="42" xfId="0" applyNumberFormat="1" applyFont="1" applyFill="1" applyBorder="1" applyAlignment="1" applyProtection="1">
      <alignment horizontal="right" vertical="center"/>
      <protection locked="0"/>
    </xf>
    <xf numFmtId="176" fontId="12" fillId="36" borderId="44" xfId="0" applyNumberFormat="1" applyFont="1" applyFill="1" applyBorder="1" applyAlignment="1">
      <alignment horizontal="center" vertical="center"/>
    </xf>
    <xf numFmtId="176" fontId="12" fillId="36" borderId="45" xfId="0" applyNumberFormat="1" applyFont="1" applyFill="1" applyBorder="1" applyAlignment="1">
      <alignment horizontal="center" vertical="center"/>
    </xf>
    <xf numFmtId="176" fontId="12" fillId="36" borderId="46" xfId="0" applyNumberFormat="1" applyFont="1" applyFill="1" applyBorder="1" applyAlignment="1">
      <alignment horizontal="center" vertical="center"/>
    </xf>
    <xf numFmtId="176" fontId="15" fillId="36" borderId="47" xfId="0" applyNumberFormat="1" applyFont="1" applyFill="1" applyBorder="1" applyAlignment="1">
      <alignment horizontal="center" vertical="center"/>
    </xf>
    <xf numFmtId="176" fontId="8" fillId="36" borderId="39" xfId="0" applyNumberFormat="1" applyFont="1" applyFill="1" applyBorder="1" applyAlignment="1">
      <alignment horizontal="center" vertical="center"/>
    </xf>
    <xf numFmtId="176" fontId="12" fillId="36" borderId="13" xfId="0" applyNumberFormat="1" applyFont="1" applyFill="1" applyBorder="1" applyAlignment="1">
      <alignment vertical="center"/>
    </xf>
    <xf numFmtId="176" fontId="15" fillId="36" borderId="48" xfId="0" applyNumberFormat="1" applyFont="1" applyFill="1" applyBorder="1" applyAlignment="1">
      <alignment horizontal="center" vertical="center"/>
    </xf>
    <xf numFmtId="176" fontId="12" fillId="36" borderId="49" xfId="0" applyNumberFormat="1" applyFont="1" applyFill="1" applyBorder="1" applyAlignment="1">
      <alignment vertical="center"/>
    </xf>
    <xf numFmtId="176" fontId="8" fillId="36" borderId="43" xfId="0" applyNumberFormat="1" applyFont="1" applyFill="1" applyBorder="1" applyAlignment="1">
      <alignment horizontal="center" vertical="center" wrapText="1"/>
    </xf>
    <xf numFmtId="176" fontId="12" fillId="36" borderId="23" xfId="0" applyNumberFormat="1" applyFont="1" applyFill="1" applyBorder="1" applyAlignment="1">
      <alignment vertical="center"/>
    </xf>
    <xf numFmtId="176" fontId="12" fillId="36" borderId="50" xfId="0" applyNumberFormat="1" applyFont="1" applyFill="1" applyBorder="1" applyAlignment="1">
      <alignment vertical="center"/>
    </xf>
    <xf numFmtId="176" fontId="8" fillId="36" borderId="45" xfId="0" applyNumberFormat="1" applyFont="1" applyFill="1" applyBorder="1" applyAlignment="1">
      <alignment horizontal="center" vertical="center" wrapText="1"/>
    </xf>
    <xf numFmtId="176" fontId="12" fillId="36" borderId="24" xfId="0" applyNumberFormat="1" applyFont="1" applyFill="1" applyBorder="1" applyAlignment="1">
      <alignment vertical="center"/>
    </xf>
    <xf numFmtId="176" fontId="12" fillId="36" borderId="46" xfId="0" applyNumberFormat="1" applyFont="1" applyFill="1" applyBorder="1" applyAlignment="1">
      <alignment vertical="center"/>
    </xf>
    <xf numFmtId="176" fontId="6" fillId="33" borderId="0" xfId="0" applyNumberFormat="1" applyFont="1" applyFill="1" applyAlignment="1">
      <alignment horizontal="center" vertical="center" wrapText="1"/>
    </xf>
    <xf numFmtId="176" fontId="6" fillId="36" borderId="51" xfId="0" applyNumberFormat="1" applyFont="1" applyFill="1" applyBorder="1" applyAlignment="1">
      <alignment horizontal="center" vertical="center"/>
    </xf>
    <xf numFmtId="9" fontId="57" fillId="35" borderId="38" xfId="0" applyNumberFormat="1" applyFont="1" applyFill="1" applyBorder="1" applyAlignment="1">
      <alignment horizontal="center" vertical="center"/>
    </xf>
    <xf numFmtId="176" fontId="6" fillId="36" borderId="24" xfId="0" applyNumberFormat="1" applyFont="1" applyFill="1" applyBorder="1" applyAlignment="1">
      <alignment horizontal="center" vertical="center"/>
    </xf>
    <xf numFmtId="176" fontId="6" fillId="36" borderId="11" xfId="0" applyNumberFormat="1" applyFont="1" applyFill="1" applyBorder="1" applyAlignment="1">
      <alignment vertical="center"/>
    </xf>
    <xf numFmtId="176" fontId="6" fillId="36" borderId="52" xfId="0" applyNumberFormat="1" applyFont="1" applyFill="1" applyBorder="1" applyAlignment="1">
      <alignment vertical="center"/>
    </xf>
    <xf numFmtId="176" fontId="6" fillId="36" borderId="53" xfId="0" applyNumberFormat="1" applyFont="1" applyFill="1" applyBorder="1" applyAlignment="1">
      <alignment vertical="center"/>
    </xf>
    <xf numFmtId="177" fontId="6" fillId="36" borderId="23" xfId="0" applyNumberFormat="1" applyFont="1" applyFill="1" applyBorder="1" applyAlignment="1" applyProtection="1">
      <alignment vertical="center"/>
      <protection locked="0"/>
    </xf>
    <xf numFmtId="0" fontId="6" fillId="36" borderId="54" xfId="0" applyFont="1" applyFill="1" applyBorder="1" applyAlignment="1">
      <alignment horizontal="center" vertical="center"/>
    </xf>
    <xf numFmtId="176" fontId="6" fillId="36" borderId="24" xfId="0" applyNumberFormat="1" applyFont="1" applyFill="1" applyBorder="1" applyAlignment="1" applyProtection="1">
      <alignment vertical="center"/>
      <protection locked="0"/>
    </xf>
    <xf numFmtId="176" fontId="6" fillId="36" borderId="11" xfId="0" applyNumberFormat="1" applyFont="1" applyFill="1" applyBorder="1" applyAlignment="1" applyProtection="1">
      <alignment vertical="center"/>
      <protection locked="0"/>
    </xf>
    <xf numFmtId="176" fontId="6" fillId="36" borderId="23" xfId="0" applyNumberFormat="1" applyFont="1" applyFill="1" applyBorder="1" applyAlignment="1" applyProtection="1">
      <alignment vertical="center"/>
      <protection locked="0"/>
    </xf>
    <xf numFmtId="176" fontId="12" fillId="36" borderId="55" xfId="0" applyNumberFormat="1" applyFont="1" applyFill="1" applyBorder="1" applyAlignment="1">
      <alignment horizontal="center" vertical="center" wrapText="1"/>
    </xf>
    <xf numFmtId="176" fontId="6" fillId="36" borderId="56" xfId="0" applyNumberFormat="1" applyFont="1" applyFill="1" applyBorder="1" applyAlignment="1">
      <alignment horizontal="right" vertical="center"/>
    </xf>
    <xf numFmtId="9" fontId="6" fillId="36" borderId="53" xfId="0" applyNumberFormat="1" applyFont="1" applyFill="1" applyBorder="1" applyAlignment="1">
      <alignment horizontal="left" vertical="center"/>
    </xf>
    <xf numFmtId="176" fontId="6" fillId="36" borderId="26" xfId="0" applyNumberFormat="1" applyFont="1" applyFill="1" applyBorder="1" applyAlignment="1">
      <alignment horizontal="right" vertical="center"/>
    </xf>
    <xf numFmtId="176" fontId="6" fillId="36" borderId="13" xfId="0" applyNumberFormat="1" applyFont="1" applyFill="1" applyBorder="1" applyAlignment="1" applyProtection="1">
      <alignment vertical="center"/>
      <protection locked="0"/>
    </xf>
    <xf numFmtId="176" fontId="6" fillId="36" borderId="15" xfId="0" applyNumberFormat="1" applyFont="1" applyFill="1" applyBorder="1" applyAlignment="1" applyProtection="1">
      <alignment vertical="center"/>
      <protection locked="0"/>
    </xf>
    <xf numFmtId="176" fontId="6" fillId="36" borderId="11" xfId="0" applyNumberFormat="1" applyFont="1" applyFill="1" applyBorder="1" applyAlignment="1">
      <alignment horizontal="right" vertical="center"/>
    </xf>
    <xf numFmtId="177" fontId="12" fillId="36" borderId="51" xfId="0" applyNumberFormat="1" applyFont="1" applyFill="1" applyBorder="1" applyAlignment="1">
      <alignment horizontal="center" vertical="center"/>
    </xf>
    <xf numFmtId="9" fontId="12" fillId="36" borderId="47" xfId="0" applyNumberFormat="1" applyFont="1" applyFill="1" applyBorder="1" applyAlignment="1">
      <alignment horizontal="center" vertical="center"/>
    </xf>
    <xf numFmtId="176" fontId="6" fillId="36" borderId="25" xfId="0" applyNumberFormat="1" applyFont="1" applyFill="1" applyBorder="1" applyAlignment="1">
      <alignment horizontal="right" vertical="center"/>
    </xf>
    <xf numFmtId="177" fontId="12" fillId="36" borderId="57" xfId="0" applyNumberFormat="1" applyFont="1" applyFill="1" applyBorder="1" applyAlignment="1">
      <alignment horizontal="center" vertical="center"/>
    </xf>
    <xf numFmtId="9" fontId="12" fillId="36" borderId="58" xfId="0" applyNumberFormat="1" applyFont="1" applyFill="1" applyBorder="1" applyAlignment="1">
      <alignment horizontal="center" vertical="center"/>
    </xf>
    <xf numFmtId="176" fontId="6" fillId="36" borderId="13" xfId="0" applyNumberFormat="1" applyFont="1" applyFill="1" applyBorder="1" applyAlignment="1">
      <alignment horizontal="right" vertical="center"/>
    </xf>
    <xf numFmtId="177" fontId="12" fillId="36" borderId="59" xfId="0" applyNumberFormat="1" applyFont="1" applyFill="1" applyBorder="1" applyAlignment="1">
      <alignment horizontal="center" vertical="center"/>
    </xf>
    <xf numFmtId="176" fontId="12" fillId="36" borderId="60" xfId="0" applyNumberFormat="1" applyFont="1" applyFill="1" applyBorder="1" applyAlignment="1">
      <alignment horizontal="center" vertical="center"/>
    </xf>
    <xf numFmtId="177" fontId="12" fillId="36" borderId="51" xfId="0" applyNumberFormat="1" applyFont="1" applyFill="1" applyBorder="1" applyAlignment="1">
      <alignment horizontal="center" vertical="center" wrapText="1"/>
    </xf>
    <xf numFmtId="177" fontId="15" fillId="36" borderId="55" xfId="0" applyNumberFormat="1" applyFont="1" applyFill="1" applyBorder="1" applyAlignment="1">
      <alignment horizontal="center" vertical="center"/>
    </xf>
    <xf numFmtId="176" fontId="15" fillId="36" borderId="61" xfId="0" applyNumberFormat="1" applyFont="1" applyFill="1" applyBorder="1" applyAlignment="1">
      <alignment horizontal="center" vertical="center"/>
    </xf>
    <xf numFmtId="177" fontId="12" fillId="36" borderId="56" xfId="0" applyNumberFormat="1" applyFont="1" applyFill="1" applyBorder="1" applyAlignment="1">
      <alignment horizontal="right" vertical="center"/>
    </xf>
    <xf numFmtId="9" fontId="12" fillId="36" borderId="61" xfId="0" applyNumberFormat="1" applyFont="1" applyFill="1" applyBorder="1" applyAlignment="1">
      <alignment horizontal="left" vertical="center"/>
    </xf>
    <xf numFmtId="177" fontId="12" fillId="36" borderId="55" xfId="0" applyNumberFormat="1" applyFont="1" applyFill="1" applyBorder="1" applyAlignment="1">
      <alignment horizontal="center" vertical="center"/>
    </xf>
    <xf numFmtId="176" fontId="6" fillId="36" borderId="62" xfId="0" applyNumberFormat="1" applyFont="1" applyFill="1" applyBorder="1" applyAlignment="1">
      <alignment horizontal="right" vertical="center"/>
    </xf>
    <xf numFmtId="176" fontId="57" fillId="33" borderId="12" xfId="0" applyNumberFormat="1" applyFont="1" applyFill="1" applyBorder="1" applyAlignment="1" applyProtection="1">
      <alignment horizontal="right" vertical="center"/>
      <protection locked="0"/>
    </xf>
    <xf numFmtId="0" fontId="6" fillId="33" borderId="63" xfId="0" applyFont="1" applyFill="1" applyBorder="1" applyAlignment="1">
      <alignment horizontal="center" vertical="center"/>
    </xf>
    <xf numFmtId="176" fontId="12" fillId="36" borderId="64" xfId="0" applyNumberFormat="1" applyFont="1" applyFill="1" applyBorder="1" applyAlignment="1">
      <alignment horizontal="center" vertical="center"/>
    </xf>
    <xf numFmtId="179" fontId="12" fillId="36" borderId="56" xfId="0" applyNumberFormat="1" applyFont="1" applyFill="1" applyBorder="1" applyAlignment="1">
      <alignment vertical="center"/>
    </xf>
    <xf numFmtId="176" fontId="12" fillId="36" borderId="61" xfId="0" applyNumberFormat="1" applyFont="1" applyFill="1" applyBorder="1" applyAlignment="1">
      <alignment vertical="center"/>
    </xf>
    <xf numFmtId="176" fontId="12" fillId="36" borderId="42" xfId="0" applyNumberFormat="1" applyFont="1" applyFill="1" applyBorder="1" applyAlignment="1">
      <alignment vertical="center"/>
    </xf>
    <xf numFmtId="176" fontId="6" fillId="33" borderId="59" xfId="0" applyNumberFormat="1" applyFont="1" applyFill="1" applyBorder="1" applyAlignment="1" applyProtection="1">
      <alignment horizontal="right" vertical="center"/>
      <protection locked="0"/>
    </xf>
    <xf numFmtId="176" fontId="6" fillId="35" borderId="65" xfId="0" applyNumberFormat="1" applyFont="1" applyFill="1" applyBorder="1" applyAlignment="1">
      <alignment vertical="center"/>
    </xf>
    <xf numFmtId="176" fontId="6" fillId="33" borderId="66" xfId="0" applyNumberFormat="1" applyFont="1" applyFill="1" applyBorder="1" applyAlignment="1" applyProtection="1">
      <alignment horizontal="right" vertical="center"/>
      <protection locked="0"/>
    </xf>
    <xf numFmtId="176" fontId="6" fillId="35" borderId="67" xfId="0" applyNumberFormat="1" applyFont="1" applyFill="1" applyBorder="1" applyAlignment="1">
      <alignment vertical="center"/>
    </xf>
    <xf numFmtId="176" fontId="6" fillId="35" borderId="38" xfId="0" applyNumberFormat="1" applyFont="1" applyFill="1" applyBorder="1" applyAlignment="1">
      <alignment vertical="center"/>
    </xf>
    <xf numFmtId="176" fontId="7" fillId="36" borderId="68" xfId="0" applyNumberFormat="1" applyFont="1" applyFill="1" applyBorder="1" applyAlignment="1">
      <alignment horizontal="right" vertical="center"/>
    </xf>
    <xf numFmtId="176" fontId="9" fillId="35" borderId="0" xfId="0" applyNumberFormat="1" applyFont="1" applyFill="1" applyBorder="1" applyAlignment="1">
      <alignment horizontal="right" vertical="center" indent="3"/>
    </xf>
    <xf numFmtId="176" fontId="12" fillId="35" borderId="0" xfId="0" applyNumberFormat="1" applyFont="1" applyFill="1" applyBorder="1" applyAlignment="1" quotePrefix="1">
      <alignment horizontal="left" vertical="center" wrapText="1"/>
    </xf>
    <xf numFmtId="176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 wrapText="1"/>
    </xf>
    <xf numFmtId="177" fontId="12" fillId="35" borderId="0" xfId="0" applyNumberFormat="1" applyFont="1" applyFill="1" applyBorder="1" applyAlignment="1">
      <alignment horizontal="center" vertical="center" wrapText="1"/>
    </xf>
    <xf numFmtId="177" fontId="12" fillId="35" borderId="0" xfId="0" applyNumberFormat="1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 wrapText="1"/>
    </xf>
    <xf numFmtId="183" fontId="12" fillId="35" borderId="0" xfId="0" applyNumberFormat="1" applyFont="1" applyFill="1" applyBorder="1" applyAlignment="1">
      <alignment horizontal="center" vertical="center" wrapText="1"/>
    </xf>
    <xf numFmtId="182" fontId="12" fillId="35" borderId="0" xfId="0" applyNumberFormat="1" applyFont="1" applyFill="1" applyBorder="1" applyAlignment="1">
      <alignment vertical="center"/>
    </xf>
    <xf numFmtId="176" fontId="9" fillId="35" borderId="0" xfId="0" applyNumberFormat="1" applyFont="1" applyFill="1" applyBorder="1" applyAlignment="1" applyProtection="1">
      <alignment horizontal="right" vertical="center" indent="3"/>
      <protection locked="0"/>
    </xf>
    <xf numFmtId="177" fontId="60" fillId="35" borderId="0" xfId="0" applyNumberFormat="1" applyFont="1" applyFill="1" applyBorder="1" applyAlignment="1">
      <alignment horizontal="center" vertical="center"/>
    </xf>
    <xf numFmtId="176" fontId="61" fillId="35" borderId="0" xfId="0" applyNumberFormat="1" applyFont="1" applyFill="1" applyBorder="1" applyAlignment="1">
      <alignment horizontal="center" vertical="center"/>
    </xf>
    <xf numFmtId="176" fontId="6" fillId="35" borderId="0" xfId="0" applyNumberFormat="1" applyFont="1" applyFill="1" applyBorder="1" applyAlignment="1">
      <alignment horizontal="center" vertical="center"/>
    </xf>
    <xf numFmtId="176" fontId="8" fillId="35" borderId="0" xfId="0" applyNumberFormat="1" applyFont="1" applyFill="1" applyBorder="1" applyAlignment="1">
      <alignment horizontal="center" vertical="center"/>
    </xf>
    <xf numFmtId="9" fontId="6" fillId="35" borderId="0" xfId="0" applyNumberFormat="1" applyFont="1" applyFill="1" applyBorder="1" applyAlignment="1">
      <alignment horizontal="left" vertical="center"/>
    </xf>
    <xf numFmtId="176" fontId="62" fillId="35" borderId="0" xfId="0" applyNumberFormat="1" applyFont="1" applyFill="1" applyBorder="1" applyAlignment="1">
      <alignment horizontal="center" vertical="center"/>
    </xf>
    <xf numFmtId="177" fontId="9" fillId="35" borderId="0" xfId="0" applyNumberFormat="1" applyFont="1" applyFill="1" applyBorder="1" applyAlignment="1">
      <alignment horizontal="center" vertical="center"/>
    </xf>
    <xf numFmtId="177" fontId="9" fillId="35" borderId="0" xfId="0" applyNumberFormat="1" applyFont="1" applyFill="1" applyBorder="1" applyAlignment="1">
      <alignment horizontal="right" vertical="center" indent="3"/>
    </xf>
    <xf numFmtId="0" fontId="6" fillId="35" borderId="0" xfId="0" applyFont="1" applyFill="1" applyAlignment="1">
      <alignment horizontal="center" vertical="center"/>
    </xf>
    <xf numFmtId="177" fontId="6" fillId="35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7" fontId="6" fillId="33" borderId="0" xfId="0" applyNumberFormat="1" applyFont="1" applyFill="1" applyAlignment="1">
      <alignment horizontal="center" vertical="center"/>
    </xf>
    <xf numFmtId="176" fontId="8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76" fontId="12" fillId="36" borderId="13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176" fontId="7" fillId="37" borderId="69" xfId="0" applyNumberFormat="1" applyFont="1" applyFill="1" applyBorder="1" applyAlignment="1">
      <alignment horizontal="center" vertical="center"/>
    </xf>
    <xf numFmtId="0" fontId="6" fillId="36" borderId="70" xfId="0" applyFont="1" applyFill="1" applyBorder="1" applyAlignment="1">
      <alignment horizontal="center" vertical="center"/>
    </xf>
    <xf numFmtId="177" fontId="8" fillId="36" borderId="11" xfId="0" applyNumberFormat="1" applyFont="1" applyFill="1" applyBorder="1" applyAlignment="1">
      <alignment horizontal="center" vertical="center"/>
    </xf>
    <xf numFmtId="176" fontId="12" fillId="36" borderId="22" xfId="0" applyNumberFormat="1" applyFont="1" applyFill="1" applyBorder="1" applyAlignment="1">
      <alignment vertical="center"/>
    </xf>
    <xf numFmtId="187" fontId="59" fillId="36" borderId="25" xfId="0" applyNumberFormat="1" applyFont="1" applyFill="1" applyBorder="1" applyAlignment="1">
      <alignment vertical="center" wrapText="1"/>
    </xf>
    <xf numFmtId="176" fontId="8" fillId="36" borderId="26" xfId="0" applyNumberFormat="1" applyFont="1" applyFill="1" applyBorder="1" applyAlignment="1">
      <alignment horizontal="center" vertical="center" wrapText="1"/>
    </xf>
    <xf numFmtId="176" fontId="8" fillId="36" borderId="26" xfId="0" applyNumberFormat="1" applyFont="1" applyFill="1" applyBorder="1" applyAlignment="1" applyProtection="1">
      <alignment horizontal="center" vertical="center"/>
      <protection locked="0"/>
    </xf>
    <xf numFmtId="176" fontId="6" fillId="35" borderId="11" xfId="0" applyNumberFormat="1" applyFont="1" applyFill="1" applyBorder="1" applyAlignment="1">
      <alignment vertical="center"/>
    </xf>
    <xf numFmtId="176" fontId="6" fillId="35" borderId="13" xfId="0" applyNumberFormat="1" applyFont="1" applyFill="1" applyBorder="1" applyAlignment="1">
      <alignment vertical="center"/>
    </xf>
    <xf numFmtId="177" fontId="6" fillId="33" borderId="25" xfId="0" applyNumberFormat="1" applyFont="1" applyFill="1" applyBorder="1" applyAlignment="1" applyProtection="1">
      <alignment horizontal="right" vertical="center"/>
      <protection locked="0"/>
    </xf>
    <xf numFmtId="177" fontId="6" fillId="33" borderId="22" xfId="0" applyNumberFormat="1" applyFont="1" applyFill="1" applyBorder="1" applyAlignment="1" applyProtection="1">
      <alignment horizontal="right" vertical="center"/>
      <protection locked="0"/>
    </xf>
    <xf numFmtId="176" fontId="6" fillId="35" borderId="24" xfId="0" applyNumberFormat="1" applyFont="1" applyFill="1" applyBorder="1" applyAlignment="1">
      <alignment vertical="center"/>
    </xf>
    <xf numFmtId="176" fontId="57" fillId="36" borderId="13" xfId="0" applyNumberFormat="1" applyFont="1" applyFill="1" applyBorder="1" applyAlignment="1">
      <alignment vertical="center" wrapText="1"/>
    </xf>
    <xf numFmtId="176" fontId="57" fillId="33" borderId="26" xfId="0" applyNumberFormat="1" applyFont="1" applyFill="1" applyBorder="1" applyAlignment="1" applyProtection="1">
      <alignment horizontal="right" vertical="center"/>
      <protection locked="0"/>
    </xf>
    <xf numFmtId="176" fontId="12" fillId="35" borderId="0" xfId="0" applyNumberFormat="1" applyFont="1" applyFill="1" applyBorder="1" applyAlignment="1" quotePrefix="1">
      <alignment horizontal="center" vertical="center" wrapText="1"/>
    </xf>
    <xf numFmtId="176" fontId="12" fillId="35" borderId="0" xfId="0" applyNumberFormat="1" applyFont="1" applyFill="1" applyBorder="1" applyAlignment="1" quotePrefix="1">
      <alignment horizontal="center" vertical="center"/>
    </xf>
    <xf numFmtId="177" fontId="6" fillId="33" borderId="0" xfId="0" applyNumberFormat="1" applyFont="1" applyFill="1" applyAlignment="1">
      <alignment horizontal="center" vertical="center"/>
    </xf>
    <xf numFmtId="176" fontId="6" fillId="35" borderId="51" xfId="0" applyNumberFormat="1" applyFont="1" applyFill="1" applyBorder="1" applyAlignment="1">
      <alignment horizontal="right" vertical="center"/>
    </xf>
    <xf numFmtId="176" fontId="6" fillId="35" borderId="59" xfId="0" applyNumberFormat="1" applyFont="1" applyFill="1" applyBorder="1" applyAlignment="1">
      <alignment horizontal="right" vertical="center"/>
    </xf>
    <xf numFmtId="176" fontId="12" fillId="36" borderId="11" xfId="0" applyNumberFormat="1" applyFont="1" applyFill="1" applyBorder="1" applyAlignment="1">
      <alignment horizontal="center" vertical="center"/>
    </xf>
    <xf numFmtId="181" fontId="12" fillId="36" borderId="46" xfId="0" applyNumberFormat="1" applyFont="1" applyFill="1" applyBorder="1" applyAlignment="1">
      <alignment horizontal="center" vertical="center"/>
    </xf>
    <xf numFmtId="176" fontId="12" fillId="36" borderId="71" xfId="0" applyNumberFormat="1" applyFont="1" applyFill="1" applyBorder="1" applyAlignment="1">
      <alignment horizontal="center" vertical="center"/>
    </xf>
    <xf numFmtId="176" fontId="12" fillId="36" borderId="17" xfId="0" applyNumberFormat="1" applyFont="1" applyFill="1" applyBorder="1" applyAlignment="1">
      <alignment horizontal="center" vertical="center"/>
    </xf>
    <xf numFmtId="181" fontId="12" fillId="36" borderId="64" xfId="0" applyNumberFormat="1" applyFont="1" applyFill="1" applyBorder="1" applyAlignment="1">
      <alignment horizontal="center" vertical="center"/>
    </xf>
    <xf numFmtId="181" fontId="12" fillId="36" borderId="72" xfId="0" applyNumberFormat="1" applyFont="1" applyFill="1" applyBorder="1" applyAlignment="1">
      <alignment horizontal="center" vertical="center"/>
    </xf>
    <xf numFmtId="176" fontId="12" fillId="36" borderId="48" xfId="0" applyNumberFormat="1" applyFont="1" applyFill="1" applyBorder="1" applyAlignment="1">
      <alignment horizontal="center" vertical="center"/>
    </xf>
    <xf numFmtId="176" fontId="12" fillId="36" borderId="73" xfId="0" applyNumberFormat="1" applyFont="1" applyFill="1" applyBorder="1" applyAlignment="1">
      <alignment horizontal="center" vertical="center"/>
    </xf>
    <xf numFmtId="176" fontId="12" fillId="36" borderId="47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76" fontId="12" fillId="36" borderId="24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176" fontId="8" fillId="36" borderId="45" xfId="0" applyNumberFormat="1" applyFont="1" applyFill="1" applyBorder="1" applyAlignment="1">
      <alignment horizontal="center" vertical="center"/>
    </xf>
    <xf numFmtId="176" fontId="12" fillId="36" borderId="13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7" fontId="6" fillId="33" borderId="0" xfId="0" applyNumberFormat="1" applyFont="1" applyFill="1" applyAlignment="1">
      <alignment horizontal="center" vertical="center"/>
    </xf>
    <xf numFmtId="176" fontId="8" fillId="36" borderId="10" xfId="0" applyNumberFormat="1" applyFont="1" applyFill="1" applyBorder="1" applyAlignment="1">
      <alignment horizontal="center" vertical="center"/>
    </xf>
    <xf numFmtId="176" fontId="8" fillId="36" borderId="12" xfId="0" applyNumberFormat="1" applyFont="1" applyFill="1" applyBorder="1" applyAlignment="1">
      <alignment horizontal="center" vertical="center"/>
    </xf>
    <xf numFmtId="176" fontId="7" fillId="36" borderId="74" xfId="0" applyNumberFormat="1" applyFont="1" applyFill="1" applyBorder="1" applyAlignment="1">
      <alignment horizontal="right" vertical="center"/>
    </xf>
    <xf numFmtId="0" fontId="7" fillId="36" borderId="75" xfId="0" applyFont="1" applyFill="1" applyBorder="1" applyAlignment="1">
      <alignment horizontal="center" vertical="center"/>
    </xf>
    <xf numFmtId="176" fontId="7" fillId="33" borderId="58" xfId="0" applyNumberFormat="1" applyFont="1" applyFill="1" applyBorder="1" applyAlignment="1" applyProtection="1">
      <alignment horizontal="right" vertical="center"/>
      <protection locked="0"/>
    </xf>
    <xf numFmtId="176" fontId="7" fillId="33" borderId="76" xfId="0" applyNumberFormat="1" applyFont="1" applyFill="1" applyBorder="1" applyAlignment="1" applyProtection="1">
      <alignment horizontal="right" vertical="center"/>
      <protection locked="0"/>
    </xf>
    <xf numFmtId="176" fontId="7" fillId="33" borderId="77" xfId="0" applyNumberFormat="1" applyFont="1" applyFill="1" applyBorder="1" applyAlignment="1" applyProtection="1">
      <alignment horizontal="right" vertical="center"/>
      <protection locked="0"/>
    </xf>
    <xf numFmtId="0" fontId="63" fillId="36" borderId="78" xfId="0" applyFont="1" applyFill="1" applyBorder="1" applyAlignment="1">
      <alignment horizontal="center" vertical="center"/>
    </xf>
    <xf numFmtId="176" fontId="57" fillId="33" borderId="79" xfId="0" applyNumberFormat="1" applyFont="1" applyFill="1" applyBorder="1" applyAlignment="1" applyProtection="1">
      <alignment horizontal="right" vertical="center"/>
      <protection locked="0"/>
    </xf>
    <xf numFmtId="176" fontId="57" fillId="33" borderId="80" xfId="0" applyNumberFormat="1" applyFont="1" applyFill="1" applyBorder="1" applyAlignment="1" applyProtection="1">
      <alignment horizontal="right" vertical="center"/>
      <protection locked="0"/>
    </xf>
    <xf numFmtId="176" fontId="57" fillId="33" borderId="81" xfId="0" applyNumberFormat="1" applyFont="1" applyFill="1" applyBorder="1" applyAlignment="1" applyProtection="1">
      <alignment horizontal="right" vertical="center"/>
      <protection locked="0"/>
    </xf>
    <xf numFmtId="180" fontId="12" fillId="36" borderId="51" xfId="0" applyNumberFormat="1" applyFont="1" applyFill="1" applyBorder="1" applyAlignment="1">
      <alignment horizontal="left" vertical="center" wrapText="1"/>
    </xf>
    <xf numFmtId="0" fontId="12" fillId="36" borderId="59" xfId="0" applyFont="1" applyFill="1" applyBorder="1" applyAlignment="1">
      <alignment horizontal="left" vertical="center" wrapText="1"/>
    </xf>
    <xf numFmtId="0" fontId="12" fillId="36" borderId="82" xfId="0" applyFont="1" applyFill="1" applyBorder="1" applyAlignment="1">
      <alignment horizontal="left" vertical="center" wrapText="1"/>
    </xf>
    <xf numFmtId="0" fontId="12" fillId="36" borderId="83" xfId="0" applyFont="1" applyFill="1" applyBorder="1" applyAlignment="1">
      <alignment horizontal="left" vertical="center" wrapText="1"/>
    </xf>
    <xf numFmtId="176" fontId="8" fillId="36" borderId="43" xfId="0" applyNumberFormat="1" applyFont="1" applyFill="1" applyBorder="1" applyAlignment="1">
      <alignment horizontal="center" vertical="center"/>
    </xf>
    <xf numFmtId="176" fontId="8" fillId="36" borderId="59" xfId="0" applyNumberFormat="1" applyFont="1" applyFill="1" applyBorder="1" applyAlignment="1">
      <alignment horizontal="center" vertical="center"/>
    </xf>
    <xf numFmtId="181" fontId="8" fillId="36" borderId="26" xfId="0" applyNumberFormat="1" applyFont="1" applyFill="1" applyBorder="1" applyAlignment="1">
      <alignment horizontal="center" vertical="center"/>
    </xf>
    <xf numFmtId="176" fontId="12" fillId="36" borderId="55" xfId="0" applyNumberFormat="1" applyFont="1" applyFill="1" applyBorder="1" applyAlignment="1">
      <alignment horizontal="center" vertical="center"/>
    </xf>
    <xf numFmtId="176" fontId="12" fillId="36" borderId="84" xfId="0" applyNumberFormat="1" applyFont="1" applyFill="1" applyBorder="1" applyAlignment="1">
      <alignment horizontal="center" vertical="center"/>
    </xf>
    <xf numFmtId="9" fontId="12" fillId="36" borderId="76" xfId="0" applyNumberFormat="1" applyFont="1" applyFill="1" applyBorder="1" applyAlignment="1">
      <alignment horizontal="center" vertical="center"/>
    </xf>
    <xf numFmtId="177" fontId="12" fillId="36" borderId="82" xfId="0" applyNumberFormat="1" applyFont="1" applyFill="1" applyBorder="1" applyAlignment="1">
      <alignment horizontal="center" vertical="center"/>
    </xf>
    <xf numFmtId="176" fontId="12" fillId="36" borderId="85" xfId="0" applyNumberFormat="1" applyFont="1" applyFill="1" applyBorder="1" applyAlignment="1">
      <alignment horizontal="center" vertical="center"/>
    </xf>
    <xf numFmtId="177" fontId="64" fillId="36" borderId="23" xfId="0" applyNumberFormat="1" applyFont="1" applyFill="1" applyBorder="1" applyAlignment="1" applyProtection="1">
      <alignment vertical="center"/>
      <protection locked="0"/>
    </xf>
    <xf numFmtId="185" fontId="65" fillId="35" borderId="23" xfId="0" applyNumberFormat="1" applyFont="1" applyFill="1" applyBorder="1" applyAlignment="1">
      <alignment vertical="center"/>
    </xf>
    <xf numFmtId="177" fontId="57" fillId="36" borderId="13" xfId="0" applyNumberFormat="1" applyFont="1" applyFill="1" applyBorder="1" applyAlignment="1" applyProtection="1">
      <alignment vertical="center"/>
      <protection locked="0"/>
    </xf>
    <xf numFmtId="185" fontId="62" fillId="35" borderId="13" xfId="0" applyNumberFormat="1" applyFont="1" applyFill="1" applyBorder="1" applyAlignment="1">
      <alignment vertical="center"/>
    </xf>
    <xf numFmtId="179" fontId="12" fillId="36" borderId="86" xfId="0" applyNumberFormat="1" applyFont="1" applyFill="1" applyBorder="1" applyAlignment="1">
      <alignment horizontal="right" vertical="center"/>
    </xf>
    <xf numFmtId="9" fontId="12" fillId="36" borderId="64" xfId="0" applyNumberFormat="1" applyFont="1" applyFill="1" applyBorder="1" applyAlignment="1">
      <alignment horizontal="right" vertical="center"/>
    </xf>
    <xf numFmtId="176" fontId="12" fillId="36" borderId="19" xfId="0" applyNumberFormat="1" applyFont="1" applyFill="1" applyBorder="1" applyAlignment="1">
      <alignment vertical="center" wrapText="1"/>
    </xf>
    <xf numFmtId="176" fontId="59" fillId="36" borderId="42" xfId="0" applyNumberFormat="1" applyFont="1" applyFill="1" applyBorder="1" applyAlignment="1">
      <alignment vertical="center"/>
    </xf>
    <xf numFmtId="9" fontId="12" fillId="36" borderId="66" xfId="0" applyNumberFormat="1" applyFont="1" applyFill="1" applyBorder="1" applyAlignment="1">
      <alignment vertical="center"/>
    </xf>
    <xf numFmtId="9" fontId="12" fillId="36" borderId="87" xfId="0" applyNumberFormat="1" applyFont="1" applyFill="1" applyBorder="1" applyAlignment="1">
      <alignment vertical="center"/>
    </xf>
    <xf numFmtId="176" fontId="57" fillId="33" borderId="11" xfId="0" applyNumberFormat="1" applyFont="1" applyFill="1" applyBorder="1" applyAlignment="1" applyProtection="1">
      <alignment horizontal="right" vertical="center"/>
      <protection locked="0"/>
    </xf>
    <xf numFmtId="176" fontId="59" fillId="36" borderId="71" xfId="0" applyNumberFormat="1" applyFont="1" applyFill="1" applyBorder="1" applyAlignment="1">
      <alignment horizontal="center" vertical="center"/>
    </xf>
    <xf numFmtId="176" fontId="57" fillId="33" borderId="22" xfId="0" applyNumberFormat="1" applyFont="1" applyFill="1" applyBorder="1" applyAlignment="1" applyProtection="1">
      <alignment horizontal="right" vertical="center"/>
      <protection locked="0"/>
    </xf>
    <xf numFmtId="176" fontId="12" fillId="36" borderId="25" xfId="0" applyNumberFormat="1" applyFont="1" applyFill="1" applyBorder="1" applyAlignment="1">
      <alignment horizontal="center" vertical="center"/>
    </xf>
    <xf numFmtId="176" fontId="8" fillId="36" borderId="88" xfId="0" applyNumberFormat="1" applyFont="1" applyFill="1" applyBorder="1" applyAlignment="1">
      <alignment horizontal="center" vertical="center"/>
    </xf>
    <xf numFmtId="176" fontId="8" fillId="36" borderId="27" xfId="0" applyNumberFormat="1" applyFont="1" applyFill="1" applyBorder="1" applyAlignment="1">
      <alignment horizontal="center" vertical="center"/>
    </xf>
    <xf numFmtId="176" fontId="62" fillId="36" borderId="45" xfId="0" applyNumberFormat="1" applyFont="1" applyFill="1" applyBorder="1" applyAlignment="1">
      <alignment horizontal="center" vertical="center"/>
    </xf>
    <xf numFmtId="176" fontId="8" fillId="36" borderId="55" xfId="0" applyNumberFormat="1" applyFont="1" applyFill="1" applyBorder="1" applyAlignment="1">
      <alignment horizontal="center" vertical="center"/>
    </xf>
    <xf numFmtId="176" fontId="57" fillId="35" borderId="83" xfId="0" applyNumberFormat="1" applyFont="1" applyFill="1" applyBorder="1" applyAlignment="1">
      <alignment horizontal="right" vertical="center"/>
    </xf>
    <xf numFmtId="176" fontId="6" fillId="36" borderId="23" xfId="0" applyNumberFormat="1" applyFont="1" applyFill="1" applyBorder="1" applyAlignment="1">
      <alignment horizontal="right" vertical="center"/>
    </xf>
    <xf numFmtId="9" fontId="12" fillId="36" borderId="85" xfId="0" applyNumberFormat="1" applyFont="1" applyFill="1" applyBorder="1" applyAlignment="1">
      <alignment horizontal="center" vertical="center"/>
    </xf>
    <xf numFmtId="176" fontId="57" fillId="36" borderId="24" xfId="0" applyNumberFormat="1" applyFont="1" applyFill="1" applyBorder="1" applyAlignment="1">
      <alignment horizontal="right" vertical="center"/>
    </xf>
    <xf numFmtId="177" fontId="59" fillId="36" borderId="83" xfId="0" applyNumberFormat="1" applyFont="1" applyFill="1" applyBorder="1" applyAlignment="1">
      <alignment horizontal="center" vertical="center"/>
    </xf>
    <xf numFmtId="176" fontId="6" fillId="35" borderId="89" xfId="0" applyNumberFormat="1" applyFont="1" applyFill="1" applyBorder="1" applyAlignment="1">
      <alignment vertical="center"/>
    </xf>
    <xf numFmtId="176" fontId="6" fillId="35" borderId="90" xfId="0" applyNumberFormat="1" applyFont="1" applyFill="1" applyBorder="1" applyAlignment="1">
      <alignment vertical="center"/>
    </xf>
    <xf numFmtId="176" fontId="57" fillId="35" borderId="91" xfId="0" applyNumberFormat="1" applyFont="1" applyFill="1" applyBorder="1" applyAlignment="1">
      <alignment vertical="center"/>
    </xf>
    <xf numFmtId="176" fontId="8" fillId="36" borderId="61" xfId="0" applyNumberFormat="1" applyFont="1" applyFill="1" applyBorder="1" applyAlignment="1">
      <alignment horizontal="center" vertical="center"/>
    </xf>
    <xf numFmtId="176" fontId="17" fillId="35" borderId="92" xfId="0" applyNumberFormat="1" applyFont="1" applyFill="1" applyBorder="1" applyAlignment="1">
      <alignment horizontal="center" vertical="center"/>
    </xf>
    <xf numFmtId="176" fontId="57" fillId="35" borderId="93" xfId="0" applyNumberFormat="1" applyFont="1" applyFill="1" applyBorder="1" applyAlignment="1">
      <alignment vertical="center"/>
    </xf>
    <xf numFmtId="176" fontId="8" fillId="36" borderId="94" xfId="0" applyNumberFormat="1" applyFont="1" applyFill="1" applyBorder="1" applyAlignment="1">
      <alignment horizontal="center" vertical="center"/>
    </xf>
    <xf numFmtId="176" fontId="8" fillId="36" borderId="95" xfId="0" applyNumberFormat="1" applyFont="1" applyFill="1" applyBorder="1" applyAlignment="1">
      <alignment horizontal="center" vertical="center"/>
    </xf>
    <xf numFmtId="176" fontId="62" fillId="36" borderId="60" xfId="0" applyNumberFormat="1" applyFont="1" applyFill="1" applyBorder="1" applyAlignment="1">
      <alignment horizontal="center" vertical="center"/>
    </xf>
    <xf numFmtId="176" fontId="66" fillId="36" borderId="48" xfId="0" applyNumberFormat="1" applyFont="1" applyFill="1" applyBorder="1" applyAlignment="1">
      <alignment horizontal="center" vertical="center"/>
    </xf>
    <xf numFmtId="176" fontId="66" fillId="36" borderId="47" xfId="0" applyNumberFormat="1" applyFont="1" applyFill="1" applyBorder="1" applyAlignment="1">
      <alignment horizontal="center" vertical="center"/>
    </xf>
    <xf numFmtId="176" fontId="66" fillId="36" borderId="58" xfId="0" applyNumberFormat="1" applyFont="1" applyFill="1" applyBorder="1" applyAlignment="1">
      <alignment horizontal="center" vertical="center"/>
    </xf>
    <xf numFmtId="176" fontId="17" fillId="35" borderId="0" xfId="0" applyNumberFormat="1" applyFont="1" applyFill="1" applyBorder="1" applyAlignment="1">
      <alignment horizontal="center" vertical="center"/>
    </xf>
    <xf numFmtId="176" fontId="6" fillId="35" borderId="0" xfId="0" applyNumberFormat="1" applyFont="1" applyFill="1" applyBorder="1" applyAlignment="1">
      <alignment vertical="center"/>
    </xf>
    <xf numFmtId="176" fontId="7" fillId="35" borderId="0" xfId="0" applyNumberFormat="1" applyFont="1" applyFill="1" applyBorder="1" applyAlignment="1">
      <alignment vertical="center"/>
    </xf>
    <xf numFmtId="176" fontId="57" fillId="36" borderId="83" xfId="0" applyNumberFormat="1" applyFont="1" applyFill="1" applyBorder="1" applyAlignment="1">
      <alignment horizontal="center" vertical="center"/>
    </xf>
    <xf numFmtId="176" fontId="63" fillId="36" borderId="68" xfId="0" applyNumberFormat="1" applyFont="1" applyFill="1" applyBorder="1" applyAlignment="1">
      <alignment vertical="center"/>
    </xf>
    <xf numFmtId="187" fontId="59" fillId="36" borderId="13" xfId="0" applyNumberFormat="1" applyFont="1" applyFill="1" applyBorder="1" applyAlignment="1">
      <alignment vertical="center" wrapText="1"/>
    </xf>
    <xf numFmtId="187" fontId="12" fillId="35" borderId="0" xfId="0" applyNumberFormat="1" applyFont="1" applyFill="1" applyBorder="1" applyAlignment="1">
      <alignment horizontal="center" vertical="center"/>
    </xf>
    <xf numFmtId="176" fontId="7" fillId="36" borderId="96" xfId="0" applyNumberFormat="1" applyFont="1" applyFill="1" applyBorder="1" applyAlignment="1">
      <alignment horizontal="center" vertical="center"/>
    </xf>
    <xf numFmtId="176" fontId="7" fillId="36" borderId="26" xfId="0" applyNumberFormat="1" applyFont="1" applyFill="1" applyBorder="1" applyAlignment="1">
      <alignment horizontal="center" vertical="center"/>
    </xf>
    <xf numFmtId="176" fontId="6" fillId="36" borderId="97" xfId="0" applyNumberFormat="1" applyFont="1" applyFill="1" applyBorder="1" applyAlignment="1">
      <alignment horizontal="center" vertical="center"/>
    </xf>
    <xf numFmtId="176" fontId="6" fillId="36" borderId="98" xfId="0" applyNumberFormat="1" applyFont="1" applyFill="1" applyBorder="1" applyAlignment="1">
      <alignment horizontal="center" vertical="center"/>
    </xf>
    <xf numFmtId="176" fontId="6" fillId="36" borderId="99" xfId="0" applyNumberFormat="1" applyFont="1" applyFill="1" applyBorder="1" applyAlignment="1">
      <alignment horizontal="center" vertical="center"/>
    </xf>
    <xf numFmtId="176" fontId="6" fillId="36" borderId="100" xfId="0" applyNumberFormat="1" applyFont="1" applyFill="1" applyBorder="1" applyAlignment="1">
      <alignment horizontal="center" vertical="center"/>
    </xf>
    <xf numFmtId="176" fontId="7" fillId="36" borderId="101" xfId="0" applyNumberFormat="1" applyFont="1" applyFill="1" applyBorder="1" applyAlignment="1">
      <alignment horizontal="center" vertical="center"/>
    </xf>
    <xf numFmtId="176" fontId="7" fillId="36" borderId="62" xfId="0" applyNumberFormat="1" applyFont="1" applyFill="1" applyBorder="1" applyAlignment="1">
      <alignment horizontal="center" vertical="center"/>
    </xf>
    <xf numFmtId="176" fontId="8" fillId="36" borderId="102" xfId="0" applyNumberFormat="1" applyFont="1" applyFill="1" applyBorder="1" applyAlignment="1">
      <alignment horizontal="center" vertical="center"/>
    </xf>
    <xf numFmtId="176" fontId="8" fillId="36" borderId="12" xfId="0" applyNumberFormat="1" applyFont="1" applyFill="1" applyBorder="1" applyAlignment="1">
      <alignment horizontal="center" vertical="center"/>
    </xf>
    <xf numFmtId="0" fontId="9" fillId="4" borderId="103" xfId="0" applyFont="1" applyFill="1" applyBorder="1" applyAlignment="1">
      <alignment horizontal="center" vertical="center"/>
    </xf>
    <xf numFmtId="0" fontId="9" fillId="4" borderId="104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6" fillId="35" borderId="103" xfId="0" applyFont="1" applyFill="1" applyBorder="1" applyAlignment="1" applyProtection="1">
      <alignment horizontal="center" vertical="center"/>
      <protection locked="0"/>
    </xf>
    <xf numFmtId="0" fontId="6" fillId="35" borderId="104" xfId="0" applyFont="1" applyFill="1" applyBorder="1" applyAlignment="1" applyProtection="1">
      <alignment horizontal="center" vertical="center"/>
      <protection locked="0"/>
    </xf>
    <xf numFmtId="0" fontId="6" fillId="35" borderId="75" xfId="0" applyFont="1" applyFill="1" applyBorder="1" applyAlignment="1" applyProtection="1">
      <alignment horizontal="center" vertical="center"/>
      <protection locked="0"/>
    </xf>
    <xf numFmtId="0" fontId="6" fillId="35" borderId="105" xfId="0" applyFont="1" applyFill="1" applyBorder="1" applyAlignment="1" applyProtection="1">
      <alignment horizontal="center" vertical="center"/>
      <protection locked="0"/>
    </xf>
    <xf numFmtId="0" fontId="6" fillId="35" borderId="106" xfId="0" applyFont="1" applyFill="1" applyBorder="1" applyAlignment="1" applyProtection="1">
      <alignment horizontal="center" vertical="center"/>
      <protection locked="0"/>
    </xf>
    <xf numFmtId="0" fontId="6" fillId="35" borderId="107" xfId="0" applyFont="1" applyFill="1" applyBorder="1" applyAlignment="1" applyProtection="1">
      <alignment horizontal="center" vertical="center"/>
      <protection locked="0"/>
    </xf>
    <xf numFmtId="176" fontId="62" fillId="36" borderId="108" xfId="0" applyNumberFormat="1" applyFont="1" applyFill="1" applyBorder="1" applyAlignment="1">
      <alignment horizontal="center" vertical="center"/>
    </xf>
    <xf numFmtId="176" fontId="62" fillId="36" borderId="45" xfId="0" applyNumberFormat="1" applyFont="1" applyFill="1" applyBorder="1" applyAlignment="1">
      <alignment horizontal="center" vertical="center"/>
    </xf>
    <xf numFmtId="176" fontId="7" fillId="36" borderId="109" xfId="0" applyNumberFormat="1" applyFont="1" applyFill="1" applyBorder="1" applyAlignment="1" applyProtection="1">
      <alignment horizontal="center" vertical="center" wrapText="1"/>
      <protection/>
    </xf>
    <xf numFmtId="176" fontId="7" fillId="36" borderId="110" xfId="0" applyNumberFormat="1" applyFont="1" applyFill="1" applyBorder="1" applyAlignment="1" applyProtection="1">
      <alignment horizontal="center" vertical="center" wrapText="1"/>
      <protection/>
    </xf>
    <xf numFmtId="176" fontId="7" fillId="36" borderId="111" xfId="0" applyNumberFormat="1" applyFont="1" applyFill="1" applyBorder="1" applyAlignment="1" applyProtection="1">
      <alignment horizontal="center" vertical="center" wrapText="1"/>
      <protection/>
    </xf>
    <xf numFmtId="176" fontId="8" fillId="36" borderId="19" xfId="0" applyNumberFormat="1" applyFont="1" applyFill="1" applyBorder="1" applyAlignment="1">
      <alignment horizontal="center" vertical="center" wrapText="1"/>
    </xf>
    <xf numFmtId="176" fontId="8" fillId="36" borderId="42" xfId="0" applyNumberFormat="1" applyFont="1" applyFill="1" applyBorder="1" applyAlignment="1">
      <alignment horizontal="center" vertical="center"/>
    </xf>
    <xf numFmtId="176" fontId="8" fillId="36" borderId="22" xfId="0" applyNumberFormat="1" applyFont="1" applyFill="1" applyBorder="1" applyAlignment="1">
      <alignment horizontal="center" vertical="center"/>
    </xf>
    <xf numFmtId="176" fontId="12" fillId="36" borderId="13" xfId="0" applyNumberFormat="1" applyFont="1" applyFill="1" applyBorder="1" applyAlignment="1">
      <alignment horizontal="center" vertical="center"/>
    </xf>
    <xf numFmtId="176" fontId="12" fillId="36" borderId="20" xfId="0" applyNumberFormat="1" applyFont="1" applyFill="1" applyBorder="1" applyAlignment="1">
      <alignment horizontal="center" vertical="center"/>
    </xf>
    <xf numFmtId="0" fontId="9" fillId="5" borderId="112" xfId="0" applyFont="1" applyFill="1" applyBorder="1" applyAlignment="1">
      <alignment horizontal="center" vertical="center"/>
    </xf>
    <xf numFmtId="0" fontId="9" fillId="5" borderId="6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7" fontId="6" fillId="33" borderId="0" xfId="0" applyNumberFormat="1" applyFont="1" applyFill="1" applyAlignment="1">
      <alignment horizontal="center" vertical="center"/>
    </xf>
    <xf numFmtId="176" fontId="8" fillId="36" borderId="56" xfId="0" applyNumberFormat="1" applyFont="1" applyFill="1" applyBorder="1" applyAlignment="1">
      <alignment horizontal="center" vertical="center"/>
    </xf>
    <xf numFmtId="176" fontId="8" fillId="36" borderId="53" xfId="0" applyNumberFormat="1" applyFont="1" applyFill="1" applyBorder="1" applyAlignment="1">
      <alignment horizontal="center" vertical="center"/>
    </xf>
    <xf numFmtId="0" fontId="14" fillId="36" borderId="53" xfId="0" applyFont="1" applyFill="1" applyBorder="1" applyAlignment="1">
      <alignment vertical="center"/>
    </xf>
    <xf numFmtId="177" fontId="9" fillId="5" borderId="113" xfId="0" applyNumberFormat="1" applyFont="1" applyFill="1" applyBorder="1" applyAlignment="1">
      <alignment horizontal="center" vertical="center"/>
    </xf>
    <xf numFmtId="177" fontId="9" fillId="5" borderId="104" xfId="0" applyNumberFormat="1" applyFont="1" applyFill="1" applyBorder="1" applyAlignment="1">
      <alignment horizontal="center" vertical="center"/>
    </xf>
    <xf numFmtId="177" fontId="9" fillId="5" borderId="32" xfId="0" applyNumberFormat="1" applyFont="1" applyFill="1" applyBorder="1" applyAlignment="1">
      <alignment horizontal="center" vertical="center"/>
    </xf>
    <xf numFmtId="0" fontId="9" fillId="5" borderId="114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53" xfId="0" applyFont="1" applyFill="1" applyBorder="1" applyAlignment="1">
      <alignment horizontal="center" vertical="center"/>
    </xf>
    <xf numFmtId="177" fontId="9" fillId="5" borderId="56" xfId="0" applyNumberFormat="1" applyFont="1" applyFill="1" applyBorder="1" applyAlignment="1">
      <alignment horizontal="center" vertical="center"/>
    </xf>
    <xf numFmtId="177" fontId="9" fillId="5" borderId="52" xfId="0" applyNumberFormat="1" applyFont="1" applyFill="1" applyBorder="1" applyAlignment="1">
      <alignment horizontal="center" vertical="center"/>
    </xf>
    <xf numFmtId="177" fontId="9" fillId="5" borderId="53" xfId="0" applyNumberFormat="1" applyFont="1" applyFill="1" applyBorder="1" applyAlignment="1">
      <alignment horizontal="center" vertical="center"/>
    </xf>
    <xf numFmtId="0" fontId="9" fillId="5" borderId="105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5" xfId="0" applyFont="1" applyFill="1" applyBorder="1" applyAlignment="1">
      <alignment horizontal="center" vertical="center"/>
    </xf>
    <xf numFmtId="177" fontId="9" fillId="5" borderId="116" xfId="0" applyNumberFormat="1" applyFont="1" applyFill="1" applyBorder="1" applyAlignment="1">
      <alignment horizontal="center" vertical="center"/>
    </xf>
    <xf numFmtId="177" fontId="9" fillId="5" borderId="106" xfId="0" applyNumberFormat="1" applyFont="1" applyFill="1" applyBorder="1" applyAlignment="1">
      <alignment horizontal="center" vertical="center"/>
    </xf>
    <xf numFmtId="177" fontId="9" fillId="5" borderId="115" xfId="0" applyNumberFormat="1" applyFont="1" applyFill="1" applyBorder="1" applyAlignment="1">
      <alignment horizontal="center" vertical="center"/>
    </xf>
    <xf numFmtId="176" fontId="8" fillId="36" borderId="73" xfId="0" applyNumberFormat="1" applyFont="1" applyFill="1" applyBorder="1" applyAlignment="1">
      <alignment horizontal="center" vertical="center"/>
    </xf>
    <xf numFmtId="176" fontId="8" fillId="36" borderId="10" xfId="0" applyNumberFormat="1" applyFont="1" applyFill="1" applyBorder="1" applyAlignment="1">
      <alignment horizontal="center" vertical="center"/>
    </xf>
    <xf numFmtId="177" fontId="9" fillId="4" borderId="113" xfId="0" applyNumberFormat="1" applyFont="1" applyFill="1" applyBorder="1" applyAlignment="1">
      <alignment horizontal="center" vertical="center"/>
    </xf>
    <xf numFmtId="177" fontId="9" fillId="4" borderId="104" xfId="0" applyNumberFormat="1" applyFont="1" applyFill="1" applyBorder="1" applyAlignment="1">
      <alignment horizontal="center" vertical="center"/>
    </xf>
    <xf numFmtId="177" fontId="9" fillId="4" borderId="32" xfId="0" applyNumberFormat="1" applyFont="1" applyFill="1" applyBorder="1" applyAlignment="1">
      <alignment horizontal="center" vertical="center"/>
    </xf>
    <xf numFmtId="0" fontId="9" fillId="4" borderId="105" xfId="0" applyFont="1" applyFill="1" applyBorder="1" applyAlignment="1">
      <alignment horizontal="center" vertical="center"/>
    </xf>
    <xf numFmtId="0" fontId="9" fillId="4" borderId="106" xfId="0" applyFont="1" applyFill="1" applyBorder="1" applyAlignment="1">
      <alignment horizontal="center" vertical="center"/>
    </xf>
    <xf numFmtId="0" fontId="9" fillId="4" borderId="115" xfId="0" applyFont="1" applyFill="1" applyBorder="1" applyAlignment="1">
      <alignment horizontal="center" vertical="center"/>
    </xf>
    <xf numFmtId="177" fontId="9" fillId="4" borderId="116" xfId="0" applyNumberFormat="1" applyFont="1" applyFill="1" applyBorder="1" applyAlignment="1">
      <alignment horizontal="center" vertical="center"/>
    </xf>
    <xf numFmtId="177" fontId="9" fillId="4" borderId="106" xfId="0" applyNumberFormat="1" applyFont="1" applyFill="1" applyBorder="1" applyAlignment="1">
      <alignment horizontal="center" vertical="center"/>
    </xf>
    <xf numFmtId="177" fontId="9" fillId="4" borderId="115" xfId="0" applyNumberFormat="1" applyFont="1" applyFill="1" applyBorder="1" applyAlignment="1">
      <alignment horizontal="center" vertical="center"/>
    </xf>
    <xf numFmtId="0" fontId="7" fillId="37" borderId="109" xfId="0" applyFont="1" applyFill="1" applyBorder="1" applyAlignment="1">
      <alignment horizontal="center" vertical="center" wrapText="1"/>
    </xf>
    <xf numFmtId="0" fontId="7" fillId="37" borderId="110" xfId="0" applyFont="1" applyFill="1" applyBorder="1" applyAlignment="1">
      <alignment horizontal="center" vertical="center" wrapText="1"/>
    </xf>
    <xf numFmtId="0" fontId="7" fillId="37" borderId="117" xfId="0" applyFont="1" applyFill="1" applyBorder="1" applyAlignment="1">
      <alignment horizontal="center" vertical="center" wrapText="1"/>
    </xf>
    <xf numFmtId="0" fontId="6" fillId="36" borderId="73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76" fontId="6" fillId="36" borderId="73" xfId="0" applyNumberFormat="1" applyFont="1" applyFill="1" applyBorder="1" applyAlignment="1">
      <alignment horizontal="center" vertical="center"/>
    </xf>
    <xf numFmtId="176" fontId="6" fillId="36" borderId="40" xfId="0" applyNumberFormat="1" applyFont="1" applyFill="1" applyBorder="1" applyAlignment="1">
      <alignment horizontal="center" vertical="center"/>
    </xf>
    <xf numFmtId="176" fontId="8" fillId="36" borderId="13" xfId="0" applyNumberFormat="1" applyFont="1" applyFill="1" applyBorder="1" applyAlignment="1">
      <alignment horizontal="left" vertical="center"/>
    </xf>
    <xf numFmtId="176" fontId="8" fillId="36" borderId="102" xfId="0" applyNumberFormat="1" applyFont="1" applyFill="1" applyBorder="1" applyAlignment="1">
      <alignment horizontal="center" vertical="center" wrapText="1"/>
    </xf>
    <xf numFmtId="176" fontId="8" fillId="36" borderId="12" xfId="0" applyNumberFormat="1" applyFont="1" applyFill="1" applyBorder="1" applyAlignment="1">
      <alignment horizontal="center" vertical="center" wrapText="1"/>
    </xf>
    <xf numFmtId="176" fontId="8" fillId="36" borderId="102" xfId="0" applyNumberFormat="1" applyFont="1" applyFill="1" applyBorder="1" applyAlignment="1">
      <alignment horizontal="left" vertical="center"/>
    </xf>
    <xf numFmtId="176" fontId="8" fillId="36" borderId="12" xfId="0" applyNumberFormat="1" applyFont="1" applyFill="1" applyBorder="1" applyAlignment="1">
      <alignment horizontal="left" vertical="center"/>
    </xf>
    <xf numFmtId="176" fontId="65" fillId="36" borderId="102" xfId="0" applyNumberFormat="1" applyFont="1" applyFill="1" applyBorder="1" applyAlignment="1">
      <alignment horizontal="center" vertical="center"/>
    </xf>
    <xf numFmtId="176" fontId="65" fillId="36" borderId="118" xfId="0" applyNumberFormat="1" applyFont="1" applyFill="1" applyBorder="1" applyAlignment="1">
      <alignment horizontal="center" vertical="center"/>
    </xf>
    <xf numFmtId="176" fontId="65" fillId="36" borderId="76" xfId="0" applyNumberFormat="1" applyFont="1" applyFill="1" applyBorder="1" applyAlignment="1">
      <alignment horizontal="center" vertical="center"/>
    </xf>
    <xf numFmtId="0" fontId="6" fillId="36" borderId="108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12" fillId="36" borderId="108" xfId="0" applyFont="1" applyFill="1" applyBorder="1" applyAlignment="1">
      <alignment horizontal="center" vertical="center" wrapText="1"/>
    </xf>
    <xf numFmtId="0" fontId="12" fillId="36" borderId="119" xfId="0" applyFont="1" applyFill="1" applyBorder="1" applyAlignment="1">
      <alignment horizontal="center" vertical="center" wrapText="1"/>
    </xf>
    <xf numFmtId="0" fontId="12" fillId="36" borderId="60" xfId="0" applyFont="1" applyFill="1" applyBorder="1" applyAlignment="1">
      <alignment horizontal="center" vertical="center" wrapText="1"/>
    </xf>
    <xf numFmtId="0" fontId="6" fillId="36" borderId="120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176" fontId="12" fillId="36" borderId="121" xfId="0" applyNumberFormat="1" applyFont="1" applyFill="1" applyBorder="1" applyAlignment="1">
      <alignment horizontal="right" vertical="center"/>
    </xf>
    <xf numFmtId="176" fontId="12" fillId="36" borderId="122" xfId="0" applyNumberFormat="1" applyFont="1" applyFill="1" applyBorder="1" applyAlignment="1">
      <alignment horizontal="right" vertical="center"/>
    </xf>
    <xf numFmtId="0" fontId="6" fillId="36" borderId="10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6" fontId="12" fillId="36" borderId="102" xfId="0" applyNumberFormat="1" applyFont="1" applyFill="1" applyBorder="1" applyAlignment="1">
      <alignment horizontal="center" vertical="center"/>
    </xf>
    <xf numFmtId="176" fontId="12" fillId="36" borderId="118" xfId="0" applyNumberFormat="1" applyFont="1" applyFill="1" applyBorder="1" applyAlignment="1">
      <alignment horizontal="center" vertical="center"/>
    </xf>
    <xf numFmtId="176" fontId="12" fillId="36" borderId="76" xfId="0" applyNumberFormat="1" applyFont="1" applyFill="1" applyBorder="1" applyAlignment="1">
      <alignment horizontal="center" vertical="center"/>
    </xf>
    <xf numFmtId="176" fontId="8" fillId="36" borderId="118" xfId="0" applyNumberFormat="1" applyFont="1" applyFill="1" applyBorder="1" applyAlignment="1">
      <alignment horizontal="center" vertical="center"/>
    </xf>
    <xf numFmtId="176" fontId="8" fillId="36" borderId="76" xfId="0" applyNumberFormat="1" applyFont="1" applyFill="1" applyBorder="1" applyAlignment="1">
      <alignment horizontal="center" vertical="center"/>
    </xf>
    <xf numFmtId="0" fontId="14" fillId="36" borderId="76" xfId="0" applyFont="1" applyFill="1" applyBorder="1" applyAlignment="1">
      <alignment vertical="center"/>
    </xf>
    <xf numFmtId="176" fontId="8" fillId="36" borderId="24" xfId="0" applyNumberFormat="1" applyFont="1" applyFill="1" applyBorder="1" applyAlignment="1">
      <alignment horizontal="left" vertical="center"/>
    </xf>
    <xf numFmtId="176" fontId="12" fillId="36" borderId="24" xfId="0" applyNumberFormat="1" applyFont="1" applyFill="1" applyBorder="1" applyAlignment="1">
      <alignment horizontal="center" vertical="center"/>
    </xf>
    <xf numFmtId="176" fontId="12" fillId="36" borderId="48" xfId="0" applyNumberFormat="1" applyFont="1" applyFill="1" applyBorder="1" applyAlignment="1">
      <alignment horizontal="center" vertical="center"/>
    </xf>
    <xf numFmtId="176" fontId="6" fillId="36" borderId="56" xfId="0" applyNumberFormat="1" applyFont="1" applyFill="1" applyBorder="1" applyAlignment="1">
      <alignment horizontal="left" vertical="center" wrapText="1"/>
    </xf>
    <xf numFmtId="176" fontId="6" fillId="36" borderId="53" xfId="0" applyNumberFormat="1" applyFont="1" applyFill="1" applyBorder="1" applyAlignment="1">
      <alignment horizontal="left" vertical="center" wrapText="1"/>
    </xf>
    <xf numFmtId="176" fontId="8" fillId="36" borderId="108" xfId="0" applyNumberFormat="1" applyFont="1" applyFill="1" applyBorder="1" applyAlignment="1">
      <alignment horizontal="center" vertical="center"/>
    </xf>
    <xf numFmtId="176" fontId="8" fillId="36" borderId="119" xfId="0" applyNumberFormat="1" applyFont="1" applyFill="1" applyBorder="1" applyAlignment="1">
      <alignment horizontal="center" vertical="center"/>
    </xf>
    <xf numFmtId="176" fontId="8" fillId="36" borderId="60" xfId="0" applyNumberFormat="1" applyFont="1" applyFill="1" applyBorder="1" applyAlignment="1">
      <alignment horizontal="center" vertical="center"/>
    </xf>
    <xf numFmtId="0" fontId="6" fillId="36" borderId="7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76" fontId="8" fillId="36" borderId="123" xfId="0" applyNumberFormat="1" applyFont="1" applyFill="1" applyBorder="1" applyAlignment="1">
      <alignment horizontal="center" vertical="center"/>
    </xf>
    <xf numFmtId="176" fontId="8" fillId="36" borderId="47" xfId="0" applyNumberFormat="1" applyFont="1" applyFill="1" applyBorder="1" applyAlignment="1">
      <alignment horizontal="center" vertical="center"/>
    </xf>
    <xf numFmtId="176" fontId="6" fillId="36" borderId="109" xfId="0" applyNumberFormat="1" applyFont="1" applyFill="1" applyBorder="1" applyAlignment="1">
      <alignment horizontal="center" vertical="center" wrapText="1"/>
    </xf>
    <xf numFmtId="176" fontId="6" fillId="36" borderId="110" xfId="0" applyNumberFormat="1" applyFont="1" applyFill="1" applyBorder="1" applyAlignment="1">
      <alignment horizontal="center" vertical="center" wrapText="1"/>
    </xf>
    <xf numFmtId="176" fontId="6" fillId="36" borderId="111" xfId="0" applyNumberFormat="1" applyFont="1" applyFill="1" applyBorder="1" applyAlignment="1">
      <alignment horizontal="center" vertical="center" wrapText="1"/>
    </xf>
    <xf numFmtId="176" fontId="8" fillId="36" borderId="11" xfId="0" applyNumberFormat="1" applyFont="1" applyFill="1" applyBorder="1" applyAlignment="1">
      <alignment horizontal="left" vertical="center"/>
    </xf>
    <xf numFmtId="0" fontId="64" fillId="36" borderId="102" xfId="0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 horizontal="center" vertical="center"/>
    </xf>
    <xf numFmtId="176" fontId="12" fillId="36" borderId="56" xfId="0" applyNumberFormat="1" applyFont="1" applyFill="1" applyBorder="1" applyAlignment="1">
      <alignment horizontal="center" vertical="center"/>
    </xf>
    <xf numFmtId="176" fontId="12" fillId="36" borderId="61" xfId="0" applyNumberFormat="1" applyFont="1" applyFill="1" applyBorder="1" applyAlignment="1">
      <alignment horizontal="center" vertical="center"/>
    </xf>
    <xf numFmtId="176" fontId="8" fillId="36" borderId="124" xfId="0" applyNumberFormat="1" applyFont="1" applyFill="1" applyBorder="1" applyAlignment="1">
      <alignment horizontal="right" vertical="center"/>
    </xf>
    <xf numFmtId="176" fontId="8" fillId="36" borderId="125" xfId="0" applyNumberFormat="1" applyFont="1" applyFill="1" applyBorder="1" applyAlignment="1">
      <alignment horizontal="right" vertical="center"/>
    </xf>
    <xf numFmtId="176" fontId="59" fillId="36" borderId="56" xfId="0" applyNumberFormat="1" applyFont="1" applyFill="1" applyBorder="1" applyAlignment="1">
      <alignment horizontal="center" vertical="center"/>
    </xf>
    <xf numFmtId="176" fontId="59" fillId="36" borderId="61" xfId="0" applyNumberFormat="1" applyFont="1" applyFill="1" applyBorder="1" applyAlignment="1">
      <alignment horizontal="center" vertical="center"/>
    </xf>
    <xf numFmtId="176" fontId="12" fillId="36" borderId="26" xfId="0" applyNumberFormat="1" applyFont="1" applyFill="1" applyBorder="1" applyAlignment="1">
      <alignment horizontal="center" vertical="center"/>
    </xf>
    <xf numFmtId="176" fontId="12" fillId="36" borderId="126" xfId="0" applyNumberFormat="1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176" fontId="12" fillId="36" borderId="73" xfId="0" applyNumberFormat="1" applyFont="1" applyFill="1" applyBorder="1" applyAlignment="1">
      <alignment horizontal="center" vertical="center"/>
    </xf>
    <xf numFmtId="176" fontId="12" fillId="36" borderId="47" xfId="0" applyNumberFormat="1" applyFont="1" applyFill="1" applyBorder="1" applyAlignment="1">
      <alignment horizontal="center" vertical="center"/>
    </xf>
    <xf numFmtId="0" fontId="57" fillId="36" borderId="102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0" fontId="6" fillId="36" borderId="108" xfId="0" applyFont="1" applyFill="1" applyBorder="1" applyAlignment="1">
      <alignment horizontal="center" vertical="center" wrapText="1"/>
    </xf>
    <xf numFmtId="0" fontId="6" fillId="36" borderId="45" xfId="0" applyFont="1" applyFill="1" applyBorder="1" applyAlignment="1">
      <alignment horizontal="center" vertical="center" wrapText="1"/>
    </xf>
    <xf numFmtId="183" fontId="12" fillId="36" borderId="108" xfId="0" applyNumberFormat="1" applyFont="1" applyFill="1" applyBorder="1" applyAlignment="1">
      <alignment horizontal="center" vertical="center" wrapText="1"/>
    </xf>
    <xf numFmtId="183" fontId="12" fillId="36" borderId="127" xfId="0" applyNumberFormat="1" applyFont="1" applyFill="1" applyBorder="1" applyAlignment="1">
      <alignment horizontal="center" vertical="center" wrapText="1"/>
    </xf>
    <xf numFmtId="176" fontId="7" fillId="36" borderId="109" xfId="0" applyNumberFormat="1" applyFont="1" applyFill="1" applyBorder="1" applyAlignment="1">
      <alignment horizontal="center" vertical="center" wrapText="1"/>
    </xf>
    <xf numFmtId="176" fontId="7" fillId="36" borderId="110" xfId="0" applyNumberFormat="1" applyFont="1" applyFill="1" applyBorder="1" applyAlignment="1">
      <alignment horizontal="center" vertical="center" wrapText="1"/>
    </xf>
    <xf numFmtId="176" fontId="7" fillId="36" borderId="111" xfId="0" applyNumberFormat="1" applyFont="1" applyFill="1" applyBorder="1" applyAlignment="1">
      <alignment horizontal="center" vertical="center" wrapText="1"/>
    </xf>
    <xf numFmtId="176" fontId="12" fillId="36" borderId="22" xfId="0" applyNumberFormat="1" applyFont="1" applyFill="1" applyBorder="1" applyAlignment="1">
      <alignment horizontal="left" vertical="center"/>
    </xf>
    <xf numFmtId="0" fontId="7" fillId="37" borderId="114" xfId="0" applyFont="1" applyFill="1" applyBorder="1" applyAlignment="1">
      <alignment horizontal="center" vertical="center" wrapText="1"/>
    </xf>
    <xf numFmtId="0" fontId="7" fillId="37" borderId="52" xfId="0" applyFont="1" applyFill="1" applyBorder="1" applyAlignment="1">
      <alignment horizontal="center" vertical="center" wrapText="1"/>
    </xf>
    <xf numFmtId="0" fontId="7" fillId="37" borderId="53" xfId="0" applyFont="1" applyFill="1" applyBorder="1" applyAlignment="1">
      <alignment horizontal="center" vertical="center" wrapText="1"/>
    </xf>
    <xf numFmtId="177" fontId="12" fillId="36" borderId="56" xfId="0" applyNumberFormat="1" applyFont="1" applyFill="1" applyBorder="1" applyAlignment="1">
      <alignment horizontal="center" vertical="center" wrapText="1"/>
    </xf>
    <xf numFmtId="177" fontId="12" fillId="36" borderId="128" xfId="0" applyNumberFormat="1" applyFont="1" applyFill="1" applyBorder="1" applyAlignment="1">
      <alignment horizontal="center" vertical="center" wrapText="1"/>
    </xf>
    <xf numFmtId="176" fontId="12" fillId="36" borderId="19" xfId="0" applyNumberFormat="1" applyFont="1" applyFill="1" applyBorder="1" applyAlignment="1">
      <alignment horizontal="center" vertical="center" wrapText="1"/>
    </xf>
    <xf numFmtId="176" fontId="12" fillId="36" borderId="42" xfId="0" applyNumberFormat="1" applyFont="1" applyFill="1" applyBorder="1" applyAlignment="1">
      <alignment horizontal="center" vertical="center" wrapText="1"/>
    </xf>
    <xf numFmtId="176" fontId="12" fillId="36" borderId="22" xfId="0" applyNumberFormat="1" applyFont="1" applyFill="1" applyBorder="1" applyAlignment="1">
      <alignment horizontal="center" vertical="center" wrapText="1"/>
    </xf>
    <xf numFmtId="176" fontId="9" fillId="36" borderId="56" xfId="0" applyNumberFormat="1" applyFont="1" applyFill="1" applyBorder="1" applyAlignment="1" applyProtection="1">
      <alignment horizontal="right" vertical="center" indent="3"/>
      <protection locked="0"/>
    </xf>
    <xf numFmtId="176" fontId="9" fillId="36" borderId="52" xfId="0" applyNumberFormat="1" applyFont="1" applyFill="1" applyBorder="1" applyAlignment="1" applyProtection="1">
      <alignment horizontal="right" vertical="center" indent="3"/>
      <protection locked="0"/>
    </xf>
    <xf numFmtId="176" fontId="9" fillId="36" borderId="61" xfId="0" applyNumberFormat="1" applyFont="1" applyFill="1" applyBorder="1" applyAlignment="1" applyProtection="1">
      <alignment horizontal="right" vertical="center" indent="3"/>
      <protection locked="0"/>
    </xf>
    <xf numFmtId="0" fontId="7" fillId="37" borderId="114" xfId="0" applyFont="1" applyFill="1" applyBorder="1" applyAlignment="1">
      <alignment horizontal="center" vertical="center"/>
    </xf>
    <xf numFmtId="0" fontId="7" fillId="37" borderId="52" xfId="0" applyFont="1" applyFill="1" applyBorder="1" applyAlignment="1">
      <alignment horizontal="center" vertical="center"/>
    </xf>
    <xf numFmtId="0" fontId="7" fillId="37" borderId="53" xfId="0" applyFont="1" applyFill="1" applyBorder="1" applyAlignment="1">
      <alignment horizontal="center" vertical="center"/>
    </xf>
    <xf numFmtId="176" fontId="9" fillId="36" borderId="52" xfId="0" applyNumberFormat="1" applyFont="1" applyFill="1" applyBorder="1" applyAlignment="1">
      <alignment horizontal="right" vertical="center" indent="3"/>
    </xf>
    <xf numFmtId="176" fontId="9" fillId="36" borderId="61" xfId="0" applyNumberFormat="1" applyFont="1" applyFill="1" applyBorder="1" applyAlignment="1">
      <alignment horizontal="right" vertical="center" indent="3"/>
    </xf>
    <xf numFmtId="0" fontId="63" fillId="37" borderId="114" xfId="0" applyFont="1" applyFill="1" applyBorder="1" applyAlignment="1">
      <alignment horizontal="center" vertical="center"/>
    </xf>
    <xf numFmtId="0" fontId="63" fillId="37" borderId="52" xfId="0" applyFont="1" applyFill="1" applyBorder="1" applyAlignment="1">
      <alignment horizontal="center" vertical="center"/>
    </xf>
    <xf numFmtId="0" fontId="63" fillId="37" borderId="53" xfId="0" applyFont="1" applyFill="1" applyBorder="1" applyAlignment="1">
      <alignment horizontal="center" vertical="center"/>
    </xf>
    <xf numFmtId="176" fontId="61" fillId="36" borderId="52" xfId="0" applyNumberFormat="1" applyFont="1" applyFill="1" applyBorder="1" applyAlignment="1">
      <alignment horizontal="right" vertical="center" indent="3"/>
    </xf>
    <xf numFmtId="176" fontId="61" fillId="36" borderId="61" xfId="0" applyNumberFormat="1" applyFont="1" applyFill="1" applyBorder="1" applyAlignment="1">
      <alignment horizontal="right" vertical="center" indent="3"/>
    </xf>
    <xf numFmtId="0" fontId="63" fillId="37" borderId="129" xfId="0" applyFont="1" applyFill="1" applyBorder="1" applyAlignment="1">
      <alignment horizontal="center" vertical="center"/>
    </xf>
    <xf numFmtId="0" fontId="63" fillId="37" borderId="86" xfId="0" applyFont="1" applyFill="1" applyBorder="1" applyAlignment="1">
      <alignment horizontal="center" vertical="center"/>
    </xf>
    <xf numFmtId="0" fontId="63" fillId="37" borderId="130" xfId="0" applyFont="1" applyFill="1" applyBorder="1" applyAlignment="1">
      <alignment horizontal="center" vertical="center"/>
    </xf>
    <xf numFmtId="0" fontId="63" fillId="37" borderId="112" xfId="0" applyFont="1" applyFill="1" applyBorder="1" applyAlignment="1">
      <alignment horizontal="center" vertical="center"/>
    </xf>
    <xf numFmtId="0" fontId="63" fillId="37" borderId="67" xfId="0" applyFont="1" applyFill="1" applyBorder="1" applyAlignment="1">
      <alignment horizontal="center" vertical="center"/>
    </xf>
    <xf numFmtId="0" fontId="63" fillId="37" borderId="38" xfId="0" applyFont="1" applyFill="1" applyBorder="1" applyAlignment="1">
      <alignment horizontal="center" vertical="center"/>
    </xf>
    <xf numFmtId="0" fontId="57" fillId="36" borderId="102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183" fontId="12" fillId="36" borderId="124" xfId="0" applyNumberFormat="1" applyFont="1" applyFill="1" applyBorder="1" applyAlignment="1">
      <alignment horizontal="center" vertical="center" wrapText="1"/>
    </xf>
    <xf numFmtId="183" fontId="12" fillId="36" borderId="131" xfId="0" applyNumberFormat="1" applyFont="1" applyFill="1" applyBorder="1" applyAlignment="1">
      <alignment horizontal="center" vertical="center" wrapText="1"/>
    </xf>
    <xf numFmtId="177" fontId="12" fillId="36" borderId="132" xfId="0" applyNumberFormat="1" applyFont="1" applyFill="1" applyBorder="1" applyAlignment="1">
      <alignment horizontal="center" vertical="center"/>
    </xf>
    <xf numFmtId="177" fontId="12" fillId="36" borderId="64" xfId="0" applyNumberFormat="1" applyFont="1" applyFill="1" applyBorder="1" applyAlignment="1">
      <alignment horizontal="center" vertical="center"/>
    </xf>
    <xf numFmtId="176" fontId="8" fillId="36" borderId="23" xfId="0" applyNumberFormat="1" applyFont="1" applyFill="1" applyBorder="1" applyAlignment="1">
      <alignment horizontal="center" vertical="center"/>
    </xf>
    <xf numFmtId="181" fontId="12" fillId="36" borderId="49" xfId="0" applyNumberFormat="1" applyFont="1" applyFill="1" applyBorder="1" applyAlignment="1">
      <alignment horizontal="center" vertical="center"/>
    </xf>
    <xf numFmtId="181" fontId="12" fillId="36" borderId="46" xfId="0" applyNumberFormat="1" applyFont="1" applyFill="1" applyBorder="1" applyAlignment="1">
      <alignment horizontal="center" vertical="center"/>
    </xf>
    <xf numFmtId="183" fontId="12" fillId="36" borderId="102" xfId="0" applyNumberFormat="1" applyFont="1" applyFill="1" applyBorder="1" applyAlignment="1">
      <alignment horizontal="center" vertical="center" wrapText="1"/>
    </xf>
    <xf numFmtId="183" fontId="12" fillId="36" borderId="118" xfId="0" applyNumberFormat="1" applyFont="1" applyFill="1" applyBorder="1" applyAlignment="1">
      <alignment horizontal="center" vertical="center" wrapText="1"/>
    </xf>
    <xf numFmtId="183" fontId="12" fillId="36" borderId="76" xfId="0" applyNumberFormat="1" applyFont="1" applyFill="1" applyBorder="1" applyAlignment="1">
      <alignment horizontal="center" vertical="center" wrapText="1"/>
    </xf>
    <xf numFmtId="0" fontId="8" fillId="36" borderId="10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183" fontId="12" fillId="36" borderId="41" xfId="0" applyNumberFormat="1" applyFont="1" applyFill="1" applyBorder="1" applyAlignment="1">
      <alignment horizontal="center" vertical="center" wrapText="1"/>
    </xf>
    <xf numFmtId="0" fontId="7" fillId="34" borderId="109" xfId="0" applyFont="1" applyFill="1" applyBorder="1" applyAlignment="1">
      <alignment horizontal="center" vertical="center" wrapText="1"/>
    </xf>
    <xf numFmtId="0" fontId="7" fillId="34" borderId="110" xfId="0" applyFont="1" applyFill="1" applyBorder="1" applyAlignment="1">
      <alignment horizontal="center" vertical="center" wrapText="1"/>
    </xf>
    <xf numFmtId="0" fontId="7" fillId="34" borderId="111" xfId="0" applyFont="1" applyFill="1" applyBorder="1" applyAlignment="1">
      <alignment horizontal="center" vertical="center" wrapText="1"/>
    </xf>
    <xf numFmtId="0" fontId="12" fillId="36" borderId="73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 horizontal="center" vertical="center" wrapText="1"/>
    </xf>
    <xf numFmtId="0" fontId="12" fillId="36" borderId="102" xfId="0" applyFont="1" applyFill="1" applyBorder="1" applyAlignment="1">
      <alignment horizontal="center" vertical="center" wrapText="1"/>
    </xf>
    <xf numFmtId="0" fontId="12" fillId="36" borderId="41" xfId="0" applyFont="1" applyFill="1" applyBorder="1" applyAlignment="1">
      <alignment horizontal="center" vertical="center" wrapText="1"/>
    </xf>
    <xf numFmtId="176" fontId="15" fillId="36" borderId="56" xfId="0" applyNumberFormat="1" applyFont="1" applyFill="1" applyBorder="1" applyAlignment="1">
      <alignment horizontal="center" vertical="center"/>
    </xf>
    <xf numFmtId="176" fontId="15" fillId="36" borderId="53" xfId="0" applyNumberFormat="1" applyFont="1" applyFill="1" applyBorder="1" applyAlignment="1">
      <alignment horizontal="center" vertical="center"/>
    </xf>
    <xf numFmtId="176" fontId="15" fillId="36" borderId="132" xfId="0" applyNumberFormat="1" applyFont="1" applyFill="1" applyBorder="1" applyAlignment="1">
      <alignment horizontal="center" vertical="center" wrapText="1"/>
    </xf>
    <xf numFmtId="176" fontId="15" fillId="36" borderId="130" xfId="0" applyNumberFormat="1" applyFont="1" applyFill="1" applyBorder="1" applyAlignment="1">
      <alignment horizontal="center" vertical="center" wrapText="1"/>
    </xf>
    <xf numFmtId="176" fontId="15" fillId="36" borderId="44" xfId="0" applyNumberFormat="1" applyFont="1" applyFill="1" applyBorder="1" applyAlignment="1">
      <alignment horizontal="center" vertical="center" wrapText="1"/>
    </xf>
    <xf numFmtId="176" fontId="15" fillId="36" borderId="43" xfId="0" applyNumberFormat="1" applyFont="1" applyFill="1" applyBorder="1" applyAlignment="1">
      <alignment horizontal="center" vertical="center" wrapText="1"/>
    </xf>
    <xf numFmtId="176" fontId="15" fillId="36" borderId="71" xfId="0" applyNumberFormat="1" applyFont="1" applyFill="1" applyBorder="1" applyAlignment="1">
      <alignment horizontal="center" vertical="center" wrapText="1"/>
    </xf>
    <xf numFmtId="176" fontId="15" fillId="36" borderId="38" xfId="0" applyNumberFormat="1" applyFont="1" applyFill="1" applyBorder="1" applyAlignment="1">
      <alignment horizontal="center" vertical="center" wrapText="1"/>
    </xf>
    <xf numFmtId="181" fontId="12" fillId="36" borderId="132" xfId="0" applyNumberFormat="1" applyFont="1" applyFill="1" applyBorder="1" applyAlignment="1">
      <alignment horizontal="center" vertical="center"/>
    </xf>
    <xf numFmtId="181" fontId="12" fillId="36" borderId="64" xfId="0" applyNumberFormat="1" applyFont="1" applyFill="1" applyBorder="1" applyAlignment="1">
      <alignment horizontal="center" vertical="center"/>
    </xf>
    <xf numFmtId="181" fontId="12" fillId="36" borderId="44" xfId="0" applyNumberFormat="1" applyFont="1" applyFill="1" applyBorder="1" applyAlignment="1">
      <alignment horizontal="center" vertical="center"/>
    </xf>
    <xf numFmtId="181" fontId="12" fillId="36" borderId="72" xfId="0" applyNumberFormat="1" applyFont="1" applyFill="1" applyBorder="1" applyAlignment="1">
      <alignment horizontal="center" vertical="center"/>
    </xf>
    <xf numFmtId="181" fontId="12" fillId="36" borderId="71" xfId="0" applyNumberFormat="1" applyFont="1" applyFill="1" applyBorder="1" applyAlignment="1">
      <alignment horizontal="center" vertical="center"/>
    </xf>
    <xf numFmtId="181" fontId="12" fillId="36" borderId="17" xfId="0" applyNumberFormat="1" applyFont="1" applyFill="1" applyBorder="1" applyAlignment="1">
      <alignment horizontal="center" vertical="center"/>
    </xf>
    <xf numFmtId="0" fontId="7" fillId="34" borderId="114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2" fillId="36" borderId="71" xfId="0" applyFont="1" applyFill="1" applyBorder="1" applyAlignment="1">
      <alignment horizontal="center" vertical="center" wrapText="1"/>
    </xf>
    <xf numFmtId="0" fontId="12" fillId="36" borderId="133" xfId="0" applyFont="1" applyFill="1" applyBorder="1" applyAlignment="1">
      <alignment horizontal="center" vertical="center" wrapText="1"/>
    </xf>
    <xf numFmtId="176" fontId="12" fillId="36" borderId="134" xfId="0" applyNumberFormat="1" applyFont="1" applyFill="1" applyBorder="1" applyAlignment="1">
      <alignment horizontal="center" vertical="center"/>
    </xf>
    <xf numFmtId="176" fontId="12" fillId="36" borderId="135" xfId="0" applyNumberFormat="1" applyFont="1" applyFill="1" applyBorder="1" applyAlignment="1">
      <alignment horizontal="center" vertical="center"/>
    </xf>
    <xf numFmtId="176" fontId="17" fillId="36" borderId="56" xfId="0" applyNumberFormat="1" applyFont="1" applyFill="1" applyBorder="1" applyAlignment="1">
      <alignment horizontal="center" vertical="center"/>
    </xf>
    <xf numFmtId="176" fontId="17" fillId="36" borderId="38" xfId="0" applyNumberFormat="1" applyFont="1" applyFill="1" applyBorder="1" applyAlignment="1">
      <alignment horizontal="center" vertical="center"/>
    </xf>
    <xf numFmtId="176" fontId="12" fillId="36" borderId="22" xfId="0" applyNumberFormat="1" applyFont="1" applyFill="1" applyBorder="1" applyAlignment="1">
      <alignment horizontal="center" vertical="center"/>
    </xf>
    <xf numFmtId="0" fontId="14" fillId="36" borderId="42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vertical="center" wrapText="1"/>
    </xf>
    <xf numFmtId="0" fontId="6" fillId="36" borderId="56" xfId="0" applyFont="1" applyFill="1" applyBorder="1" applyAlignment="1">
      <alignment horizontal="center" vertical="center" wrapText="1"/>
    </xf>
    <xf numFmtId="0" fontId="6" fillId="36" borderId="53" xfId="0" applyFont="1" applyFill="1" applyBorder="1" applyAlignment="1">
      <alignment horizontal="center" vertical="center" wrapText="1"/>
    </xf>
    <xf numFmtId="0" fontId="12" fillId="36" borderId="56" xfId="0" applyFont="1" applyFill="1" applyBorder="1" applyAlignment="1">
      <alignment horizontal="center" vertical="center" wrapText="1"/>
    </xf>
    <xf numFmtId="0" fontId="12" fillId="36" borderId="52" xfId="0" applyFont="1" applyFill="1" applyBorder="1" applyAlignment="1">
      <alignment horizontal="center" vertical="center" wrapText="1"/>
    </xf>
    <xf numFmtId="0" fontId="12" fillId="36" borderId="61" xfId="0" applyFont="1" applyFill="1" applyBorder="1" applyAlignment="1">
      <alignment horizontal="center" vertical="center" wrapText="1"/>
    </xf>
    <xf numFmtId="0" fontId="6" fillId="36" borderId="8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81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7" fillId="36" borderId="68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4" borderId="96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176" fontId="9" fillId="36" borderId="53" xfId="0" applyNumberFormat="1" applyFont="1" applyFill="1" applyBorder="1" applyAlignment="1">
      <alignment horizontal="right" vertical="center" indent="3"/>
    </xf>
    <xf numFmtId="176" fontId="9" fillId="36" borderId="26" xfId="0" applyNumberFormat="1" applyFont="1" applyFill="1" applyBorder="1" applyAlignment="1">
      <alignment horizontal="right" vertical="center" indent="3"/>
    </xf>
    <xf numFmtId="176" fontId="9" fillId="36" borderId="56" xfId="0" applyNumberFormat="1" applyFont="1" applyFill="1" applyBorder="1" applyAlignment="1">
      <alignment horizontal="right" vertical="center" indent="3"/>
    </xf>
    <xf numFmtId="176" fontId="9" fillId="36" borderId="126" xfId="0" applyNumberFormat="1" applyFont="1" applyFill="1" applyBorder="1" applyAlignment="1">
      <alignment horizontal="right" vertical="center" indent="3"/>
    </xf>
    <xf numFmtId="176" fontId="6" fillId="36" borderId="136" xfId="0" applyNumberFormat="1" applyFont="1" applyFill="1" applyBorder="1" applyAlignment="1">
      <alignment horizontal="center" vertical="center" wrapText="1"/>
    </xf>
    <xf numFmtId="176" fontId="6" fillId="36" borderId="137" xfId="0" applyNumberFormat="1" applyFont="1" applyFill="1" applyBorder="1" applyAlignment="1">
      <alignment horizontal="center" vertical="center"/>
    </xf>
    <xf numFmtId="176" fontId="6" fillId="36" borderId="112" xfId="0" applyNumberFormat="1" applyFont="1" applyFill="1" applyBorder="1" applyAlignment="1">
      <alignment horizontal="center" vertical="center"/>
    </xf>
    <xf numFmtId="176" fontId="6" fillId="36" borderId="38" xfId="0" applyNumberFormat="1" applyFont="1" applyFill="1" applyBorder="1" applyAlignment="1">
      <alignment horizontal="center" vertical="center"/>
    </xf>
    <xf numFmtId="176" fontId="7" fillId="36" borderId="109" xfId="0" applyNumberFormat="1" applyFont="1" applyFill="1" applyBorder="1" applyAlignment="1">
      <alignment horizontal="center" vertical="center"/>
    </xf>
    <xf numFmtId="176" fontId="7" fillId="36" borderId="110" xfId="0" applyNumberFormat="1" applyFont="1" applyFill="1" applyBorder="1" applyAlignment="1">
      <alignment horizontal="center" vertical="center"/>
    </xf>
    <xf numFmtId="176" fontId="7" fillId="36" borderId="111" xfId="0" applyNumberFormat="1" applyFont="1" applyFill="1" applyBorder="1" applyAlignment="1">
      <alignment horizontal="center" vertical="center"/>
    </xf>
    <xf numFmtId="0" fontId="6" fillId="35" borderId="115" xfId="0" applyFont="1" applyFill="1" applyBorder="1" applyAlignment="1" applyProtection="1" quotePrefix="1">
      <alignment horizontal="center" vertical="center"/>
      <protection locked="0"/>
    </xf>
    <xf numFmtId="0" fontId="6" fillId="35" borderId="62" xfId="0" applyFont="1" applyFill="1" applyBorder="1" applyAlignment="1" applyProtection="1" quotePrefix="1">
      <alignment horizontal="center" vertical="center"/>
      <protection locked="0"/>
    </xf>
    <xf numFmtId="0" fontId="6" fillId="35" borderId="138" xfId="0" applyFont="1" applyFill="1" applyBorder="1" applyAlignment="1" applyProtection="1" quotePrefix="1">
      <alignment horizontal="center" vertical="center"/>
      <protection locked="0"/>
    </xf>
    <xf numFmtId="0" fontId="5" fillId="33" borderId="139" xfId="0" applyFont="1" applyFill="1" applyBorder="1" applyAlignment="1" applyProtection="1">
      <alignment horizontal="center" vertical="center"/>
      <protection locked="0"/>
    </xf>
    <xf numFmtId="0" fontId="6" fillId="36" borderId="78" xfId="0" applyFont="1" applyFill="1" applyBorder="1" applyAlignment="1" applyProtection="1">
      <alignment horizontal="center" vertical="center"/>
      <protection locked="0"/>
    </xf>
    <xf numFmtId="0" fontId="6" fillId="36" borderId="31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113" xfId="0" applyFont="1" applyFill="1" applyBorder="1" applyAlignment="1" applyProtection="1">
      <alignment horizontal="center" vertical="center"/>
      <protection locked="0"/>
    </xf>
    <xf numFmtId="0" fontId="6" fillId="35" borderId="70" xfId="0" applyFont="1" applyFill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6" borderId="78" xfId="0" applyFont="1" applyFill="1" applyBorder="1" applyAlignment="1">
      <alignment horizontal="center" vertical="center"/>
    </xf>
    <xf numFmtId="0" fontId="6" fillId="36" borderId="70" xfId="0" applyFont="1" applyFill="1" applyBorder="1" applyAlignment="1">
      <alignment horizontal="center" vertical="center"/>
    </xf>
    <xf numFmtId="0" fontId="6" fillId="36" borderId="14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01" xfId="0" applyFont="1" applyFill="1" applyBorder="1" applyAlignment="1" applyProtection="1">
      <alignment horizontal="center" vertical="center"/>
      <protection locked="0"/>
    </xf>
    <xf numFmtId="0" fontId="6" fillId="36" borderId="138" xfId="0" applyFont="1" applyFill="1" applyBorder="1" applyAlignment="1" applyProtection="1">
      <alignment horizontal="center" vertical="center"/>
      <protection locked="0"/>
    </xf>
    <xf numFmtId="0" fontId="6" fillId="35" borderId="115" xfId="0" applyFont="1" applyFill="1" applyBorder="1" applyAlignment="1" applyProtection="1">
      <alignment horizontal="center" vertical="center"/>
      <protection locked="0"/>
    </xf>
    <xf numFmtId="0" fontId="6" fillId="35" borderId="116" xfId="0" applyFont="1" applyFill="1" applyBorder="1" applyAlignment="1" applyProtection="1">
      <alignment horizontal="center" vertical="center"/>
      <protection locked="0"/>
    </xf>
    <xf numFmtId="176" fontId="12" fillId="36" borderId="141" xfId="0" applyNumberFormat="1" applyFont="1" applyFill="1" applyBorder="1" applyAlignment="1">
      <alignment horizontal="center" vertical="center"/>
    </xf>
    <xf numFmtId="176" fontId="12" fillId="36" borderId="60" xfId="0" applyNumberFormat="1" applyFont="1" applyFill="1" applyBorder="1" applyAlignment="1">
      <alignment horizontal="center" vertical="center"/>
    </xf>
    <xf numFmtId="177" fontId="12" fillId="36" borderId="102" xfId="0" applyNumberFormat="1" applyFont="1" applyFill="1" applyBorder="1" applyAlignment="1">
      <alignment horizontal="center" vertical="center"/>
    </xf>
    <xf numFmtId="177" fontId="12" fillId="36" borderId="76" xfId="0" applyNumberFormat="1" applyFont="1" applyFill="1" applyBorder="1" applyAlignment="1">
      <alignment horizontal="center" vertical="center"/>
    </xf>
    <xf numFmtId="177" fontId="12" fillId="36" borderId="108" xfId="0" applyNumberFormat="1" applyFont="1" applyFill="1" applyBorder="1" applyAlignment="1">
      <alignment horizontal="center" vertical="center"/>
    </xf>
    <xf numFmtId="177" fontId="12" fillId="36" borderId="60" xfId="0" applyNumberFormat="1" applyFont="1" applyFill="1" applyBorder="1" applyAlignment="1">
      <alignment horizontal="center" vertical="center"/>
    </xf>
    <xf numFmtId="176" fontId="12" fillId="36" borderId="134" xfId="0" applyNumberFormat="1" applyFont="1" applyFill="1" applyBorder="1" applyAlignment="1">
      <alignment horizontal="center" vertical="center" wrapText="1"/>
    </xf>
    <xf numFmtId="176" fontId="12" fillId="36" borderId="47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3" fillId="34" borderId="78" xfId="0" applyFont="1" applyFill="1" applyBorder="1" applyAlignment="1">
      <alignment horizontal="center" vertical="center"/>
    </xf>
    <xf numFmtId="0" fontId="63" fillId="34" borderId="70" xfId="0" applyFont="1" applyFill="1" applyBorder="1" applyAlignment="1">
      <alignment horizontal="center" vertical="center"/>
    </xf>
    <xf numFmtId="176" fontId="61" fillId="36" borderId="32" xfId="0" applyNumberFormat="1" applyFont="1" applyFill="1" applyBorder="1" applyAlignment="1">
      <alignment horizontal="right" vertical="center" indent="3"/>
    </xf>
    <xf numFmtId="176" fontId="61" fillId="36" borderId="70" xfId="0" applyNumberFormat="1" applyFont="1" applyFill="1" applyBorder="1" applyAlignment="1">
      <alignment horizontal="right" vertical="center" indent="3"/>
    </xf>
    <xf numFmtId="176" fontId="61" fillId="36" borderId="113" xfId="0" applyNumberFormat="1" applyFont="1" applyFill="1" applyBorder="1" applyAlignment="1">
      <alignment horizontal="right" vertical="center" indent="3"/>
    </xf>
    <xf numFmtId="176" fontId="61" fillId="36" borderId="31" xfId="0" applyNumberFormat="1" applyFont="1" applyFill="1" applyBorder="1" applyAlignment="1">
      <alignment horizontal="right" vertical="center" indent="3"/>
    </xf>
    <xf numFmtId="176" fontId="7" fillId="37" borderId="142" xfId="0" applyNumberFormat="1" applyFont="1" applyFill="1" applyBorder="1" applyAlignment="1">
      <alignment horizontal="center" vertical="center"/>
    </xf>
    <xf numFmtId="176" fontId="7" fillId="37" borderId="69" xfId="0" applyNumberFormat="1" applyFont="1" applyFill="1" applyBorder="1" applyAlignment="1">
      <alignment horizontal="center" vertical="center"/>
    </xf>
    <xf numFmtId="176" fontId="7" fillId="37" borderId="143" xfId="0" applyNumberFormat="1" applyFont="1" applyFill="1" applyBorder="1" applyAlignment="1">
      <alignment horizontal="center" vertical="center"/>
    </xf>
    <xf numFmtId="176" fontId="59" fillId="36" borderId="135" xfId="0" applyNumberFormat="1" applyFont="1" applyFill="1" applyBorder="1" applyAlignment="1">
      <alignment horizontal="center" vertical="center"/>
    </xf>
    <xf numFmtId="176" fontId="59" fillId="36" borderId="76" xfId="0" applyNumberFormat="1" applyFont="1" applyFill="1" applyBorder="1" applyAlignment="1">
      <alignment horizontal="center" vertical="center"/>
    </xf>
    <xf numFmtId="177" fontId="12" fillId="36" borderId="135" xfId="0" applyNumberFormat="1" applyFont="1" applyFill="1" applyBorder="1" applyAlignment="1">
      <alignment horizontal="center" vertical="center" wrapText="1"/>
    </xf>
    <xf numFmtId="177" fontId="12" fillId="36" borderId="76" xfId="0" applyNumberFormat="1" applyFont="1" applyFill="1" applyBorder="1" applyAlignment="1">
      <alignment horizontal="center" vertical="center" wrapText="1"/>
    </xf>
    <xf numFmtId="177" fontId="12" fillId="36" borderId="141" xfId="0" applyNumberFormat="1" applyFont="1" applyFill="1" applyBorder="1" applyAlignment="1">
      <alignment horizontal="center" vertical="center" wrapText="1"/>
    </xf>
    <xf numFmtId="177" fontId="12" fillId="36" borderId="60" xfId="0" applyNumberFormat="1" applyFont="1" applyFill="1" applyBorder="1" applyAlignment="1">
      <alignment horizontal="center" vertical="center" wrapText="1"/>
    </xf>
    <xf numFmtId="176" fontId="6" fillId="36" borderId="109" xfId="0" applyNumberFormat="1" applyFont="1" applyFill="1" applyBorder="1" applyAlignment="1" applyProtection="1">
      <alignment horizontal="center" vertical="center" wrapText="1"/>
      <protection/>
    </xf>
    <xf numFmtId="176" fontId="6" fillId="36" borderId="110" xfId="0" applyNumberFormat="1" applyFont="1" applyFill="1" applyBorder="1" applyAlignment="1" applyProtection="1">
      <alignment horizontal="center" vertical="center" wrapText="1"/>
      <protection/>
    </xf>
    <xf numFmtId="176" fontId="6" fillId="36" borderId="111" xfId="0" applyNumberFormat="1" applyFont="1" applyFill="1" applyBorder="1" applyAlignment="1" applyProtection="1">
      <alignment horizontal="center" vertical="center" wrapText="1"/>
      <protection/>
    </xf>
    <xf numFmtId="176" fontId="12" fillId="36" borderId="144" xfId="0" applyNumberFormat="1" applyFont="1" applyFill="1" applyBorder="1" applyAlignment="1">
      <alignment horizontal="center" vertical="center"/>
    </xf>
    <xf numFmtId="176" fontId="12" fillId="36" borderId="17" xfId="0" applyNumberFormat="1" applyFont="1" applyFill="1" applyBorder="1" applyAlignment="1">
      <alignment horizontal="center" vertical="center"/>
    </xf>
    <xf numFmtId="176" fontId="6" fillId="36" borderId="132" xfId="0" applyNumberFormat="1" applyFont="1" applyFill="1" applyBorder="1" applyAlignment="1">
      <alignment horizontal="center" vertical="center"/>
    </xf>
    <xf numFmtId="176" fontId="6" fillId="36" borderId="130" xfId="0" applyNumberFormat="1" applyFont="1" applyFill="1" applyBorder="1" applyAlignment="1">
      <alignment horizontal="center" vertical="center"/>
    </xf>
    <xf numFmtId="176" fontId="6" fillId="36" borderId="44" xfId="0" applyNumberFormat="1" applyFont="1" applyFill="1" applyBorder="1" applyAlignment="1">
      <alignment horizontal="center" vertical="center"/>
    </xf>
    <xf numFmtId="176" fontId="6" fillId="36" borderId="43" xfId="0" applyNumberFormat="1" applyFont="1" applyFill="1" applyBorder="1" applyAlignment="1">
      <alignment horizontal="center" vertical="center"/>
    </xf>
    <xf numFmtId="176" fontId="6" fillId="36" borderId="71" xfId="0" applyNumberFormat="1" applyFont="1" applyFill="1" applyBorder="1" applyAlignment="1">
      <alignment horizontal="center" vertical="center"/>
    </xf>
    <xf numFmtId="176" fontId="12" fillId="36" borderId="145" xfId="0" applyNumberFormat="1" applyFont="1" applyFill="1" applyBorder="1" applyAlignment="1">
      <alignment horizontal="center" vertical="center"/>
    </xf>
    <xf numFmtId="176" fontId="12" fillId="36" borderId="46" xfId="0" applyNumberFormat="1" applyFont="1" applyFill="1" applyBorder="1" applyAlignment="1">
      <alignment horizontal="center" vertical="center"/>
    </xf>
    <xf numFmtId="177" fontId="57" fillId="36" borderId="73" xfId="0" applyNumberFormat="1" applyFont="1" applyFill="1" applyBorder="1" applyAlignment="1">
      <alignment horizontal="center" vertical="center"/>
    </xf>
    <xf numFmtId="177" fontId="57" fillId="36" borderId="47" xfId="0" applyNumberFormat="1" applyFont="1" applyFill="1" applyBorder="1" applyAlignment="1">
      <alignment horizontal="center" vertical="center"/>
    </xf>
    <xf numFmtId="176" fontId="61" fillId="36" borderId="108" xfId="0" applyNumberFormat="1" applyFont="1" applyFill="1" applyBorder="1" applyAlignment="1">
      <alignment horizontal="center" vertical="center"/>
    </xf>
    <xf numFmtId="176" fontId="61" fillId="36" borderId="60" xfId="0" applyNumberFormat="1" applyFont="1" applyFill="1" applyBorder="1" applyAlignment="1">
      <alignment horizontal="center" vertical="center"/>
    </xf>
    <xf numFmtId="176" fontId="6" fillId="36" borderId="134" xfId="0" applyNumberFormat="1" applyFont="1" applyFill="1" applyBorder="1" applyAlignment="1">
      <alignment horizontal="center" vertical="center"/>
    </xf>
    <xf numFmtId="176" fontId="6" fillId="36" borderId="47" xfId="0" applyNumberFormat="1" applyFont="1" applyFill="1" applyBorder="1" applyAlignment="1">
      <alignment horizontal="center" vertical="center"/>
    </xf>
    <xf numFmtId="176" fontId="8" fillId="35" borderId="135" xfId="0" applyNumberFormat="1" applyFont="1" applyFill="1" applyBorder="1" applyAlignment="1">
      <alignment horizontal="center" vertical="center"/>
    </xf>
    <xf numFmtId="176" fontId="8" fillId="35" borderId="76" xfId="0" applyNumberFormat="1" applyFont="1" applyFill="1" applyBorder="1" applyAlignment="1">
      <alignment horizontal="center" vertical="center"/>
    </xf>
    <xf numFmtId="9" fontId="6" fillId="36" borderId="118" xfId="0" applyNumberFormat="1" applyFont="1" applyFill="1" applyBorder="1" applyAlignment="1">
      <alignment horizontal="center" vertical="center"/>
    </xf>
    <xf numFmtId="9" fontId="6" fillId="36" borderId="76" xfId="0" applyNumberFormat="1" applyFont="1" applyFill="1" applyBorder="1" applyAlignment="1">
      <alignment horizontal="center" vertical="center"/>
    </xf>
    <xf numFmtId="9" fontId="57" fillId="36" borderId="146" xfId="0" applyNumberFormat="1" applyFont="1" applyFill="1" applyBorder="1" applyAlignment="1">
      <alignment horizontal="center" vertical="center"/>
    </xf>
    <xf numFmtId="9" fontId="57" fillId="36" borderId="77" xfId="0" applyNumberFormat="1" applyFont="1" applyFill="1" applyBorder="1" applyAlignment="1">
      <alignment horizontal="center" vertical="center"/>
    </xf>
    <xf numFmtId="177" fontId="9" fillId="4" borderId="147" xfId="0" applyNumberFormat="1" applyFont="1" applyFill="1" applyBorder="1" applyAlignment="1">
      <alignment horizontal="center" vertical="center"/>
    </xf>
    <xf numFmtId="177" fontId="9" fillId="4" borderId="148" xfId="0" applyNumberFormat="1" applyFont="1" applyFill="1" applyBorder="1" applyAlignment="1">
      <alignment horizontal="center" vertical="center"/>
    </xf>
    <xf numFmtId="177" fontId="9" fillId="4" borderId="121" xfId="0" applyNumberFormat="1" applyFont="1" applyFill="1" applyBorder="1" applyAlignment="1">
      <alignment horizontal="center" vertical="center"/>
    </xf>
    <xf numFmtId="177" fontId="9" fillId="4" borderId="149" xfId="0" applyNumberFormat="1" applyFont="1" applyFill="1" applyBorder="1" applyAlignment="1">
      <alignment horizontal="center" vertical="center"/>
    </xf>
    <xf numFmtId="177" fontId="9" fillId="5" borderId="147" xfId="0" applyNumberFormat="1" applyFont="1" applyFill="1" applyBorder="1" applyAlignment="1">
      <alignment horizontal="center" vertical="center"/>
    </xf>
    <xf numFmtId="177" fontId="9" fillId="5" borderId="148" xfId="0" applyNumberFormat="1" applyFont="1" applyFill="1" applyBorder="1" applyAlignment="1">
      <alignment horizontal="center" vertical="center"/>
    </xf>
    <xf numFmtId="177" fontId="9" fillId="5" borderId="44" xfId="0" applyNumberFormat="1" applyFont="1" applyFill="1" applyBorder="1" applyAlignment="1">
      <alignment horizontal="center" vertical="center"/>
    </xf>
    <xf numFmtId="177" fontId="9" fillId="5" borderId="72" xfId="0" applyNumberFormat="1" applyFont="1" applyFill="1" applyBorder="1" applyAlignment="1">
      <alignment horizontal="center" vertical="center"/>
    </xf>
    <xf numFmtId="177" fontId="9" fillId="5" borderId="121" xfId="0" applyNumberFormat="1" applyFont="1" applyFill="1" applyBorder="1" applyAlignment="1">
      <alignment horizontal="center" vertical="center"/>
    </xf>
    <xf numFmtId="177" fontId="9" fillId="5" borderId="149" xfId="0" applyNumberFormat="1" applyFont="1" applyFill="1" applyBorder="1" applyAlignment="1">
      <alignment horizontal="center" vertical="center"/>
    </xf>
    <xf numFmtId="188" fontId="12" fillId="36" borderId="150" xfId="0" applyNumberFormat="1" applyFont="1" applyFill="1" applyBorder="1" applyAlignment="1">
      <alignment horizontal="center" vertical="center"/>
    </xf>
    <xf numFmtId="188" fontId="12" fillId="36" borderId="61" xfId="0" applyNumberFormat="1" applyFont="1" applyFill="1" applyBorder="1" applyAlignment="1">
      <alignment horizontal="center" vertical="center"/>
    </xf>
    <xf numFmtId="176" fontId="12" fillId="36" borderId="86" xfId="0" applyNumberFormat="1" applyFont="1" applyFill="1" applyBorder="1" applyAlignment="1" quotePrefix="1">
      <alignment horizontal="center" vertical="center" wrapText="1"/>
    </xf>
    <xf numFmtId="176" fontId="12" fillId="36" borderId="64" xfId="0" applyNumberFormat="1" applyFont="1" applyFill="1" applyBorder="1" applyAlignment="1" quotePrefix="1">
      <alignment horizontal="center" vertical="center" wrapText="1"/>
    </xf>
    <xf numFmtId="176" fontId="12" fillId="36" borderId="0" xfId="0" applyNumberFormat="1" applyFont="1" applyFill="1" applyBorder="1" applyAlignment="1" quotePrefix="1">
      <alignment horizontal="center" vertical="center" wrapText="1"/>
    </xf>
    <xf numFmtId="176" fontId="12" fillId="36" borderId="72" xfId="0" applyNumberFormat="1" applyFont="1" applyFill="1" applyBorder="1" applyAlignment="1" quotePrefix="1">
      <alignment horizontal="center" vertical="center" wrapText="1"/>
    </xf>
    <xf numFmtId="176" fontId="12" fillId="36" borderId="67" xfId="0" applyNumberFormat="1" applyFont="1" applyFill="1" applyBorder="1" applyAlignment="1" quotePrefix="1">
      <alignment horizontal="center" vertical="center" wrapText="1"/>
    </xf>
    <xf numFmtId="176" fontId="12" fillId="36" borderId="17" xfId="0" applyNumberFormat="1" applyFont="1" applyFill="1" applyBorder="1" applyAlignment="1" quotePrefix="1">
      <alignment horizontal="center" vertical="center" wrapText="1"/>
    </xf>
    <xf numFmtId="177" fontId="12" fillId="36" borderId="73" xfId="0" applyNumberFormat="1" applyFont="1" applyFill="1" applyBorder="1" applyAlignment="1">
      <alignment horizontal="center" vertical="center" wrapText="1"/>
    </xf>
    <xf numFmtId="177" fontId="12" fillId="36" borderId="4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1:X107"/>
  <sheetViews>
    <sheetView tabSelected="1" zoomScalePageLayoutView="0" workbookViewId="0" topLeftCell="A31">
      <selection activeCell="E59" sqref="E59"/>
    </sheetView>
  </sheetViews>
  <sheetFormatPr defaultColWidth="8.88671875" defaultRowHeight="13.5"/>
  <cols>
    <col min="1" max="3" width="2.77734375" style="183" customWidth="1"/>
    <col min="4" max="4" width="15.10546875" style="183" customWidth="1"/>
    <col min="5" max="7" width="12.10546875" style="183" customWidth="1"/>
    <col min="8" max="8" width="10.3359375" style="225" customWidth="1"/>
    <col min="9" max="9" width="9.77734375" style="183" customWidth="1"/>
    <col min="10" max="10" width="9.99609375" style="183" customWidth="1"/>
    <col min="11" max="11" width="9.4453125" style="183" customWidth="1"/>
    <col min="12" max="12" width="14.77734375" style="183" customWidth="1"/>
    <col min="13" max="13" width="14.4453125" style="183" customWidth="1"/>
    <col min="14" max="14" width="14.5546875" style="183" customWidth="1"/>
    <col min="15" max="15" width="12.77734375" style="183" customWidth="1"/>
    <col min="16" max="16" width="11.99609375" style="183" customWidth="1"/>
    <col min="17" max="17" width="13.10546875" style="183" customWidth="1"/>
    <col min="18" max="18" width="10.21484375" style="183" customWidth="1"/>
    <col min="19" max="19" width="10.77734375" style="183" bestFit="1" customWidth="1"/>
    <col min="20" max="20" width="11.21484375" style="183" customWidth="1"/>
    <col min="21" max="21" width="9.88671875" style="183" hidden="1" customWidth="1"/>
    <col min="22" max="22" width="8.88671875" style="183" hidden="1" customWidth="1"/>
    <col min="23" max="23" width="13.77734375" style="183" hidden="1" customWidth="1"/>
    <col min="24" max="24" width="11.99609375" style="183" hidden="1" customWidth="1"/>
    <col min="25" max="25" width="8.88671875" style="183" customWidth="1"/>
    <col min="26" max="16384" width="8.88671875" style="183" customWidth="1"/>
  </cols>
  <sheetData>
    <row r="1" spans="2:17" ht="20.25" customHeight="1" thickBot="1">
      <c r="B1" s="533" t="s">
        <v>236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</row>
    <row r="2" ht="14.25" thickBot="1" thickTop="1"/>
    <row r="3" spans="2:17" ht="13.5" customHeight="1">
      <c r="B3" s="534" t="s">
        <v>20</v>
      </c>
      <c r="C3" s="535"/>
      <c r="D3" s="536"/>
      <c r="E3" s="537"/>
      <c r="F3" s="534" t="s">
        <v>21</v>
      </c>
      <c r="G3" s="535"/>
      <c r="H3" s="305"/>
      <c r="I3" s="306"/>
      <c r="J3" s="306"/>
      <c r="K3" s="307"/>
      <c r="L3" s="64" t="s">
        <v>22</v>
      </c>
      <c r="M3" s="536"/>
      <c r="N3" s="538"/>
      <c r="O3" s="538"/>
      <c r="P3" s="538"/>
      <c r="Q3" s="539"/>
    </row>
    <row r="4" spans="2:17" ht="13.5" customHeight="1" thickBot="1">
      <c r="B4" s="544" t="s">
        <v>23</v>
      </c>
      <c r="C4" s="545"/>
      <c r="D4" s="546"/>
      <c r="E4" s="547"/>
      <c r="F4" s="544" t="s">
        <v>24</v>
      </c>
      <c r="G4" s="545"/>
      <c r="H4" s="308"/>
      <c r="I4" s="309"/>
      <c r="J4" s="309"/>
      <c r="K4" s="310"/>
      <c r="L4" s="65" t="s">
        <v>25</v>
      </c>
      <c r="M4" s="530" t="s">
        <v>265</v>
      </c>
      <c r="N4" s="531"/>
      <c r="O4" s="531"/>
      <c r="P4" s="531"/>
      <c r="Q4" s="532"/>
    </row>
    <row r="5" ht="6.75" customHeight="1"/>
    <row r="6" spans="2:17" ht="18" customHeight="1" thickBot="1">
      <c r="B6" s="533" t="s">
        <v>237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</row>
    <row r="7" spans="2:17" ht="5.25" customHeight="1" thickBot="1" thickTop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5" customHeight="1">
      <c r="B8" s="540" t="s">
        <v>82</v>
      </c>
      <c r="C8" s="541"/>
      <c r="D8" s="192" t="s">
        <v>83</v>
      </c>
      <c r="E8" s="192" t="s">
        <v>84</v>
      </c>
      <c r="F8" s="192" t="s">
        <v>85</v>
      </c>
      <c r="G8" s="66" t="s">
        <v>86</v>
      </c>
      <c r="H8" s="234" t="s">
        <v>238</v>
      </c>
      <c r="I8" s="230" t="s">
        <v>239</v>
      </c>
      <c r="J8" s="67" t="s">
        <v>87</v>
      </c>
      <c r="K8" s="192" t="s">
        <v>88</v>
      </c>
      <c r="L8" s="192" t="s">
        <v>89</v>
      </c>
      <c r="M8" s="192" t="s">
        <v>90</v>
      </c>
      <c r="N8" s="192" t="s">
        <v>91</v>
      </c>
      <c r="O8" s="192" t="s">
        <v>92</v>
      </c>
      <c r="P8" s="192" t="s">
        <v>93</v>
      </c>
      <c r="Q8" s="66" t="s">
        <v>94</v>
      </c>
    </row>
    <row r="9" spans="2:18" ht="14.25" customHeight="1">
      <c r="B9" s="542" t="s">
        <v>95</v>
      </c>
      <c r="C9" s="543"/>
      <c r="D9" s="26"/>
      <c r="E9" s="54"/>
      <c r="F9" s="54"/>
      <c r="G9" s="28"/>
      <c r="H9" s="235"/>
      <c r="I9" s="231"/>
      <c r="J9" s="2"/>
      <c r="K9" s="3"/>
      <c r="L9" s="3"/>
      <c r="M9" s="3"/>
      <c r="N9" s="4"/>
      <c r="O9" s="4"/>
      <c r="P9" s="4"/>
      <c r="Q9" s="68">
        <f>SUM(D9:G9)-SUM(J9:P9)</f>
        <v>0</v>
      </c>
      <c r="R9" s="5"/>
    </row>
    <row r="10" spans="2:17" ht="14.25" customHeight="1">
      <c r="B10" s="511" t="s">
        <v>27</v>
      </c>
      <c r="C10" s="512"/>
      <c r="D10" s="29"/>
      <c r="E10" s="29"/>
      <c r="F10" s="29"/>
      <c r="G10" s="28"/>
      <c r="H10" s="236"/>
      <c r="I10" s="232"/>
      <c r="J10" s="6"/>
      <c r="K10" s="7"/>
      <c r="L10" s="8"/>
      <c r="M10" s="8"/>
      <c r="N10" s="8"/>
      <c r="O10" s="8"/>
      <c r="P10" s="8"/>
      <c r="Q10" s="69">
        <f aca="true" t="shared" si="0" ref="Q10:Q20">SUM(D10:G10)-SUM(J10:P10)</f>
        <v>0</v>
      </c>
    </row>
    <row r="11" spans="2:17" ht="14.25" customHeight="1">
      <c r="B11" s="511" t="s">
        <v>0</v>
      </c>
      <c r="C11" s="512"/>
      <c r="D11" s="29"/>
      <c r="E11" s="57"/>
      <c r="F11" s="29"/>
      <c r="G11" s="28"/>
      <c r="H11" s="236"/>
      <c r="I11" s="232"/>
      <c r="J11" s="6"/>
      <c r="K11" s="7"/>
      <c r="L11" s="8"/>
      <c r="M11" s="8"/>
      <c r="N11" s="8"/>
      <c r="O11" s="8"/>
      <c r="P11" s="8"/>
      <c r="Q11" s="69">
        <f t="shared" si="0"/>
        <v>0</v>
      </c>
    </row>
    <row r="12" spans="2:17" ht="14.25" customHeight="1">
      <c r="B12" s="511" t="s">
        <v>1</v>
      </c>
      <c r="C12" s="512"/>
      <c r="D12" s="29"/>
      <c r="E12" s="57"/>
      <c r="F12" s="29"/>
      <c r="G12" s="28"/>
      <c r="H12" s="236"/>
      <c r="I12" s="232"/>
      <c r="J12" s="6"/>
      <c r="K12" s="7"/>
      <c r="L12" s="8"/>
      <c r="M12" s="8"/>
      <c r="N12" s="8"/>
      <c r="O12" s="8"/>
      <c r="P12" s="8"/>
      <c r="Q12" s="69">
        <f t="shared" si="0"/>
        <v>0</v>
      </c>
    </row>
    <row r="13" spans="2:17" ht="14.25" customHeight="1">
      <c r="B13" s="511" t="s">
        <v>2</v>
      </c>
      <c r="C13" s="512"/>
      <c r="D13" s="29"/>
      <c r="E13" s="57"/>
      <c r="F13" s="29"/>
      <c r="G13" s="28"/>
      <c r="H13" s="236"/>
      <c r="I13" s="232"/>
      <c r="J13" s="6"/>
      <c r="K13" s="7"/>
      <c r="L13" s="8"/>
      <c r="M13" s="8"/>
      <c r="N13" s="8"/>
      <c r="O13" s="8"/>
      <c r="P13" s="8"/>
      <c r="Q13" s="69">
        <f t="shared" si="0"/>
        <v>0</v>
      </c>
    </row>
    <row r="14" spans="2:17" ht="14.25" customHeight="1">
      <c r="B14" s="511" t="s">
        <v>3</v>
      </c>
      <c r="C14" s="512"/>
      <c r="D14" s="29"/>
      <c r="E14" s="58"/>
      <c r="F14" s="29"/>
      <c r="G14" s="28"/>
      <c r="H14" s="236"/>
      <c r="I14" s="232"/>
      <c r="J14" s="6"/>
      <c r="K14" s="7"/>
      <c r="L14" s="8"/>
      <c r="M14" s="8"/>
      <c r="N14" s="8"/>
      <c r="O14" s="8"/>
      <c r="P14" s="8"/>
      <c r="Q14" s="69">
        <f t="shared" si="0"/>
        <v>0</v>
      </c>
    </row>
    <row r="15" spans="2:17" ht="14.25" customHeight="1">
      <c r="B15" s="511" t="s">
        <v>4</v>
      </c>
      <c r="C15" s="512"/>
      <c r="D15" s="29"/>
      <c r="E15" s="54"/>
      <c r="F15" s="29"/>
      <c r="G15" s="28"/>
      <c r="H15" s="236"/>
      <c r="I15" s="232"/>
      <c r="J15" s="6"/>
      <c r="K15" s="7"/>
      <c r="L15" s="8"/>
      <c r="M15" s="8"/>
      <c r="N15" s="8"/>
      <c r="O15" s="8"/>
      <c r="P15" s="8"/>
      <c r="Q15" s="69">
        <f t="shared" si="0"/>
        <v>0</v>
      </c>
    </row>
    <row r="16" spans="2:17" ht="14.25" customHeight="1">
      <c r="B16" s="511" t="s">
        <v>5</v>
      </c>
      <c r="C16" s="512"/>
      <c r="D16" s="29"/>
      <c r="E16" s="29"/>
      <c r="F16" s="57"/>
      <c r="G16" s="28"/>
      <c r="H16" s="236"/>
      <c r="I16" s="232"/>
      <c r="J16" s="6"/>
      <c r="K16" s="7"/>
      <c r="L16" s="8"/>
      <c r="M16" s="8"/>
      <c r="N16" s="8"/>
      <c r="O16" s="8"/>
      <c r="P16" s="8"/>
      <c r="Q16" s="69">
        <f t="shared" si="0"/>
        <v>0</v>
      </c>
    </row>
    <row r="17" spans="2:17" ht="14.25" customHeight="1">
      <c r="B17" s="511" t="s">
        <v>6</v>
      </c>
      <c r="C17" s="512"/>
      <c r="D17" s="29"/>
      <c r="E17" s="54"/>
      <c r="F17" s="54"/>
      <c r="G17" s="28"/>
      <c r="H17" s="236"/>
      <c r="I17" s="232"/>
      <c r="J17" s="6"/>
      <c r="K17" s="7"/>
      <c r="L17" s="8"/>
      <c r="M17" s="8"/>
      <c r="N17" s="8"/>
      <c r="O17" s="8"/>
      <c r="P17" s="8"/>
      <c r="Q17" s="69">
        <f t="shared" si="0"/>
        <v>0</v>
      </c>
    </row>
    <row r="18" spans="2:17" ht="14.25" customHeight="1">
      <c r="B18" s="511" t="s">
        <v>7</v>
      </c>
      <c r="C18" s="512"/>
      <c r="D18" s="29"/>
      <c r="E18" s="29"/>
      <c r="F18" s="151"/>
      <c r="G18" s="28"/>
      <c r="H18" s="236"/>
      <c r="I18" s="232"/>
      <c r="J18" s="6"/>
      <c r="K18" s="7"/>
      <c r="L18" s="8"/>
      <c r="M18" s="8"/>
      <c r="N18" s="8"/>
      <c r="O18" s="8"/>
      <c r="P18" s="8"/>
      <c r="Q18" s="69">
        <f t="shared" si="0"/>
        <v>0</v>
      </c>
    </row>
    <row r="19" spans="2:17" ht="14.25" customHeight="1">
      <c r="B19" s="511" t="s">
        <v>8</v>
      </c>
      <c r="C19" s="512"/>
      <c r="D19" s="29"/>
      <c r="E19" s="29"/>
      <c r="F19" s="52"/>
      <c r="G19" s="28"/>
      <c r="H19" s="236"/>
      <c r="I19" s="232"/>
      <c r="J19" s="6"/>
      <c r="K19" s="7"/>
      <c r="L19" s="8"/>
      <c r="M19" s="8"/>
      <c r="N19" s="8"/>
      <c r="O19" s="8"/>
      <c r="P19" s="8"/>
      <c r="Q19" s="69">
        <f t="shared" si="0"/>
        <v>0</v>
      </c>
    </row>
    <row r="20" spans="2:17" ht="14.25" customHeight="1" thickBot="1">
      <c r="B20" s="513" t="s">
        <v>9</v>
      </c>
      <c r="C20" s="514"/>
      <c r="D20" s="30"/>
      <c r="E20" s="30"/>
      <c r="F20" s="53"/>
      <c r="G20" s="59"/>
      <c r="H20" s="237"/>
      <c r="I20" s="233"/>
      <c r="J20" s="9"/>
      <c r="K20" s="10"/>
      <c r="L20" s="11"/>
      <c r="M20" s="11"/>
      <c r="N20" s="11"/>
      <c r="O20" s="11"/>
      <c r="P20" s="11"/>
      <c r="Q20" s="70">
        <f t="shared" si="0"/>
        <v>0</v>
      </c>
    </row>
    <row r="21" spans="2:19" ht="14.25" customHeight="1" thickBot="1">
      <c r="B21" s="515" t="s">
        <v>96</v>
      </c>
      <c r="C21" s="516"/>
      <c r="D21" s="71">
        <f>SUM(D9:D20)</f>
        <v>0</v>
      </c>
      <c r="E21" s="71">
        <f>SUM(E9:E20)</f>
        <v>0</v>
      </c>
      <c r="F21" s="71">
        <f>SUM(F9:F20)</f>
        <v>0</v>
      </c>
      <c r="G21" s="72">
        <f aca="true" t="shared" si="1" ref="G21:P21">SUM(G9:G20)</f>
        <v>0</v>
      </c>
      <c r="H21" s="289">
        <f t="shared" si="1"/>
        <v>0</v>
      </c>
      <c r="I21" s="229">
        <f>SUM(I9:I20)</f>
        <v>0</v>
      </c>
      <c r="J21" s="162">
        <f>SUM(J9:J20)</f>
        <v>0</v>
      </c>
      <c r="K21" s="73">
        <f>SUM(K9:K20)</f>
        <v>0</v>
      </c>
      <c r="L21" s="71">
        <f t="shared" si="1"/>
        <v>0</v>
      </c>
      <c r="M21" s="71">
        <f t="shared" si="1"/>
        <v>0</v>
      </c>
      <c r="N21" s="71">
        <f t="shared" si="1"/>
        <v>0</v>
      </c>
      <c r="O21" s="71">
        <f t="shared" si="1"/>
        <v>0</v>
      </c>
      <c r="P21" s="71">
        <f t="shared" si="1"/>
        <v>0</v>
      </c>
      <c r="Q21" s="74">
        <f>SUM(Q9:Q20)</f>
        <v>0</v>
      </c>
      <c r="R21" s="152"/>
      <c r="S21" s="5"/>
    </row>
    <row r="22" spans="2:19" ht="27" customHeight="1">
      <c r="B22" s="556" t="s">
        <v>242</v>
      </c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8"/>
      <c r="S22" s="558"/>
    </row>
    <row r="23" spans="4:20" ht="13.5" thickBot="1">
      <c r="D23" s="12"/>
      <c r="E23" s="12"/>
      <c r="F23" s="12"/>
      <c r="G23" s="12"/>
      <c r="H23" s="12"/>
      <c r="I23" s="5"/>
      <c r="J23" s="5"/>
      <c r="K23" s="5"/>
      <c r="L23" s="5"/>
      <c r="M23" s="5"/>
      <c r="N23" s="5"/>
      <c r="O23" s="5"/>
      <c r="P23" s="5"/>
      <c r="T23" s="5"/>
    </row>
    <row r="24" spans="2:17" ht="15" customHeight="1" thickBot="1">
      <c r="B24" s="559" t="s">
        <v>10</v>
      </c>
      <c r="C24" s="560"/>
      <c r="D24" s="560"/>
      <c r="E24" s="561">
        <f>SUM(D21:G21)-IF(H21&gt;3000000,3000000,H21)-I21</f>
        <v>0</v>
      </c>
      <c r="F24" s="562"/>
      <c r="G24" s="562"/>
      <c r="H24" s="563"/>
      <c r="I24" s="564"/>
      <c r="J24" s="163"/>
      <c r="K24" s="5"/>
      <c r="L24" s="565" t="s">
        <v>11</v>
      </c>
      <c r="M24" s="566"/>
      <c r="N24" s="566"/>
      <c r="O24" s="191" t="s">
        <v>12</v>
      </c>
      <c r="P24" s="566" t="s">
        <v>13</v>
      </c>
      <c r="Q24" s="567"/>
    </row>
    <row r="25" spans="2:17" ht="15" customHeight="1" thickTop="1">
      <c r="B25" s="517" t="s">
        <v>29</v>
      </c>
      <c r="C25" s="518"/>
      <c r="D25" s="518"/>
      <c r="E25" s="519">
        <f>INT(IF(E24&gt;100000000,14750000+(E24-100000000)*0.02,IF(E24&gt;45000000,12000000+(E24-45000000)*0.05,IF(E24&gt;15000000,7500000+(E24-15000000)*0.15,IF(E24&gt;5000000,3500000+(E24-5000000)*0.4,E24*0.7)))))</f>
        <v>0</v>
      </c>
      <c r="F25" s="520"/>
      <c r="G25" s="520"/>
      <c r="H25" s="521"/>
      <c r="I25" s="522"/>
      <c r="J25" s="163"/>
      <c r="K25" s="5"/>
      <c r="L25" s="523" t="s">
        <v>266</v>
      </c>
      <c r="M25" s="524"/>
      <c r="N25" s="75" t="s">
        <v>188</v>
      </c>
      <c r="O25" s="35"/>
      <c r="P25" s="259">
        <v>0.12</v>
      </c>
      <c r="Q25" s="577">
        <v>1000000</v>
      </c>
    </row>
    <row r="26" spans="2:20" ht="15" customHeight="1">
      <c r="B26" s="517" t="s">
        <v>28</v>
      </c>
      <c r="C26" s="518"/>
      <c r="D26" s="518"/>
      <c r="E26" s="519">
        <f>E24-E25</f>
        <v>0</v>
      </c>
      <c r="F26" s="520"/>
      <c r="G26" s="520"/>
      <c r="H26" s="521"/>
      <c r="I26" s="522"/>
      <c r="J26" s="163"/>
      <c r="K26" s="5"/>
      <c r="L26" s="525"/>
      <c r="M26" s="526"/>
      <c r="N26" s="76" t="s">
        <v>30</v>
      </c>
      <c r="O26" s="36"/>
      <c r="P26" s="258">
        <v>0.15</v>
      </c>
      <c r="Q26" s="578"/>
      <c r="S26" s="5"/>
      <c r="T26" s="5"/>
    </row>
    <row r="27" spans="2:24" ht="15" customHeight="1">
      <c r="B27" s="470" t="s">
        <v>39</v>
      </c>
      <c r="C27" s="413" t="s">
        <v>14</v>
      </c>
      <c r="D27" s="77" t="s">
        <v>15</v>
      </c>
      <c r="E27" s="78">
        <f>$G$27*10000</f>
        <v>1500000</v>
      </c>
      <c r="F27" s="13" t="s">
        <v>97</v>
      </c>
      <c r="G27" s="238">
        <v>150</v>
      </c>
      <c r="H27" s="610" t="s">
        <v>98</v>
      </c>
      <c r="I27" s="611"/>
      <c r="J27" s="164"/>
      <c r="K27" s="5"/>
      <c r="L27" s="527" t="s">
        <v>99</v>
      </c>
      <c r="M27" s="256" t="s">
        <v>100</v>
      </c>
      <c r="N27" s="227" t="s">
        <v>99</v>
      </c>
      <c r="O27" s="26"/>
      <c r="P27" s="154">
        <v>0.03</v>
      </c>
      <c r="Q27" s="155">
        <f>P27*E24</f>
        <v>0</v>
      </c>
      <c r="T27" s="5"/>
      <c r="U27" s="14" t="s">
        <v>101</v>
      </c>
      <c r="V27" s="14" t="s">
        <v>102</v>
      </c>
      <c r="W27" s="183" t="s">
        <v>103</v>
      </c>
      <c r="X27" s="183" t="s">
        <v>216</v>
      </c>
    </row>
    <row r="28" spans="2:24" ht="15" customHeight="1">
      <c r="B28" s="471"/>
      <c r="C28" s="504"/>
      <c r="D28" s="189" t="s">
        <v>104</v>
      </c>
      <c r="E28" s="79">
        <f>IF(F28="o",$G$27*10000,0)</f>
        <v>0</v>
      </c>
      <c r="F28" s="37"/>
      <c r="G28" s="239" t="s">
        <v>105</v>
      </c>
      <c r="H28" s="612"/>
      <c r="I28" s="613"/>
      <c r="J28" s="164"/>
      <c r="K28" s="5"/>
      <c r="L28" s="528"/>
      <c r="M28" s="156" t="s">
        <v>221</v>
      </c>
      <c r="N28" s="242" t="s">
        <v>222</v>
      </c>
      <c r="O28" s="52"/>
      <c r="P28" s="254" t="s">
        <v>223</v>
      </c>
      <c r="Q28" s="255">
        <v>0.2</v>
      </c>
      <c r="S28" s="5"/>
      <c r="U28" s="14" t="s">
        <v>107</v>
      </c>
      <c r="V28" s="15">
        <v>0</v>
      </c>
      <c r="W28" s="16">
        <v>0</v>
      </c>
      <c r="X28" s="55" t="s">
        <v>218</v>
      </c>
    </row>
    <row r="29" spans="2:24" ht="15" customHeight="1">
      <c r="B29" s="471"/>
      <c r="C29" s="504"/>
      <c r="D29" s="189" t="s">
        <v>108</v>
      </c>
      <c r="E29" s="79">
        <f>F29*$G$27*10000</f>
        <v>0</v>
      </c>
      <c r="F29" s="38"/>
      <c r="G29" s="239" t="s">
        <v>109</v>
      </c>
      <c r="H29" s="612"/>
      <c r="I29" s="613"/>
      <c r="J29" s="164"/>
      <c r="K29" s="5"/>
      <c r="L29" s="528"/>
      <c r="M29" s="257" t="s">
        <v>245</v>
      </c>
      <c r="N29" s="461" t="s">
        <v>106</v>
      </c>
      <c r="O29" s="157"/>
      <c r="P29" s="158"/>
      <c r="Q29" s="462">
        <v>500000</v>
      </c>
      <c r="U29" s="14" t="s">
        <v>111</v>
      </c>
      <c r="V29" s="15">
        <v>1</v>
      </c>
      <c r="W29" s="17">
        <v>0.5</v>
      </c>
      <c r="X29" s="55" t="s">
        <v>217</v>
      </c>
    </row>
    <row r="30" spans="2:24" ht="15" customHeight="1">
      <c r="B30" s="471"/>
      <c r="C30" s="504"/>
      <c r="D30" s="80" t="s">
        <v>112</v>
      </c>
      <c r="E30" s="81">
        <f>F30*$G$27*10000</f>
        <v>0</v>
      </c>
      <c r="F30" s="38"/>
      <c r="G30" s="239" t="s">
        <v>113</v>
      </c>
      <c r="H30" s="612"/>
      <c r="I30" s="613"/>
      <c r="J30" s="164"/>
      <c r="K30" s="5"/>
      <c r="L30" s="528"/>
      <c r="M30" s="194" t="s">
        <v>244</v>
      </c>
      <c r="N30" s="318"/>
      <c r="O30" s="159"/>
      <c r="P30" s="160"/>
      <c r="Q30" s="463"/>
      <c r="U30" s="14"/>
      <c r="V30" s="15">
        <v>2</v>
      </c>
      <c r="W30" s="17">
        <v>0.7</v>
      </c>
      <c r="X30" s="55" t="s">
        <v>219</v>
      </c>
    </row>
    <row r="31" spans="2:24" ht="15" customHeight="1">
      <c r="B31" s="471"/>
      <c r="C31" s="504"/>
      <c r="D31" s="80" t="s">
        <v>115</v>
      </c>
      <c r="E31" s="81">
        <f>F31*$G$27*10000</f>
        <v>0</v>
      </c>
      <c r="F31" s="39"/>
      <c r="G31" s="240" t="s">
        <v>40</v>
      </c>
      <c r="H31" s="612"/>
      <c r="I31" s="613"/>
      <c r="J31" s="164"/>
      <c r="K31" s="5"/>
      <c r="L31" s="528"/>
      <c r="M31" s="156" t="s">
        <v>114</v>
      </c>
      <c r="N31" s="107" t="s">
        <v>99</v>
      </c>
      <c r="O31" s="41"/>
      <c r="P31" s="459">
        <v>7000000</v>
      </c>
      <c r="Q31" s="460"/>
      <c r="T31" s="5"/>
      <c r="U31" s="14"/>
      <c r="V31" s="15">
        <v>3</v>
      </c>
      <c r="W31" s="17">
        <v>0.9</v>
      </c>
      <c r="X31" s="55" t="s">
        <v>234</v>
      </c>
    </row>
    <row r="32" spans="2:22" ht="15" customHeight="1">
      <c r="B32" s="471"/>
      <c r="C32" s="505"/>
      <c r="D32" s="190" t="s">
        <v>117</v>
      </c>
      <c r="E32" s="82">
        <f>F32*$G$27*10000</f>
        <v>0</v>
      </c>
      <c r="F32" s="40"/>
      <c r="G32" s="241" t="s">
        <v>118</v>
      </c>
      <c r="H32" s="614"/>
      <c r="I32" s="615"/>
      <c r="J32" s="164"/>
      <c r="K32" s="5"/>
      <c r="L32" s="528"/>
      <c r="M32" s="156" t="s">
        <v>116</v>
      </c>
      <c r="N32" s="461" t="s">
        <v>106</v>
      </c>
      <c r="O32" s="157"/>
      <c r="P32" s="56"/>
      <c r="Q32" s="462">
        <v>500000</v>
      </c>
      <c r="T32" s="184"/>
      <c r="U32" s="14"/>
      <c r="V32" s="15">
        <v>4</v>
      </c>
    </row>
    <row r="33" spans="2:22" ht="15" customHeight="1">
      <c r="B33" s="471"/>
      <c r="C33" s="413" t="s">
        <v>41</v>
      </c>
      <c r="D33" s="187" t="s">
        <v>119</v>
      </c>
      <c r="E33" s="83">
        <f>F33*G33*10000</f>
        <v>0</v>
      </c>
      <c r="F33" s="42"/>
      <c r="G33" s="84">
        <v>100</v>
      </c>
      <c r="H33" s="554" t="s">
        <v>120</v>
      </c>
      <c r="I33" s="555"/>
      <c r="J33" s="205"/>
      <c r="K33" s="5"/>
      <c r="L33" s="529"/>
      <c r="M33" s="194" t="s">
        <v>110</v>
      </c>
      <c r="N33" s="318"/>
      <c r="O33" s="159"/>
      <c r="P33" s="161"/>
      <c r="Q33" s="463"/>
      <c r="T33" s="5"/>
      <c r="U33" s="14"/>
      <c r="V33" s="15">
        <v>5</v>
      </c>
    </row>
    <row r="34" spans="2:22" ht="15" customHeight="1">
      <c r="B34" s="471"/>
      <c r="C34" s="414"/>
      <c r="D34" s="189" t="s">
        <v>122</v>
      </c>
      <c r="E34" s="79">
        <f>F34*G34*10000</f>
        <v>0</v>
      </c>
      <c r="F34" s="38"/>
      <c r="G34" s="85">
        <v>200</v>
      </c>
      <c r="H34" s="500" t="s">
        <v>123</v>
      </c>
      <c r="I34" s="383"/>
      <c r="J34" s="206"/>
      <c r="K34" s="5"/>
      <c r="L34" s="399" t="s">
        <v>121</v>
      </c>
      <c r="M34" s="477" t="s">
        <v>240</v>
      </c>
      <c r="N34" s="478"/>
      <c r="O34" s="27"/>
      <c r="P34" s="411" t="s">
        <v>31</v>
      </c>
      <c r="Q34" s="412"/>
      <c r="U34" s="14"/>
      <c r="V34" s="15">
        <v>6</v>
      </c>
    </row>
    <row r="35" spans="2:22" ht="15" customHeight="1">
      <c r="B35" s="471"/>
      <c r="C35" s="414"/>
      <c r="D35" s="189" t="s">
        <v>124</v>
      </c>
      <c r="E35" s="79">
        <f>IF(E36&gt;0,0,IF(F35="o",G35*10000,0))</f>
        <v>0</v>
      </c>
      <c r="F35" s="37"/>
      <c r="G35" s="85">
        <v>50</v>
      </c>
      <c r="H35" s="500" t="s">
        <v>125</v>
      </c>
      <c r="I35" s="383"/>
      <c r="J35" s="206"/>
      <c r="K35" s="5"/>
      <c r="L35" s="400"/>
      <c r="M35" s="479" t="s">
        <v>230</v>
      </c>
      <c r="N35" s="480"/>
      <c r="O35" s="4"/>
      <c r="P35" s="485">
        <v>9000000</v>
      </c>
      <c r="Q35" s="486"/>
      <c r="U35" s="14"/>
      <c r="V35" s="15">
        <v>7</v>
      </c>
    </row>
    <row r="36" spans="2:22" ht="15" customHeight="1">
      <c r="B36" s="472"/>
      <c r="C36" s="415"/>
      <c r="D36" s="86" t="s">
        <v>126</v>
      </c>
      <c r="E36" s="87">
        <f>IF(F36="o",1000000,0)</f>
        <v>0</v>
      </c>
      <c r="F36" s="43"/>
      <c r="G36" s="372" t="s">
        <v>127</v>
      </c>
      <c r="H36" s="373"/>
      <c r="I36" s="374"/>
      <c r="J36" s="166"/>
      <c r="K36" s="5"/>
      <c r="L36" s="400"/>
      <c r="M36" s="481"/>
      <c r="N36" s="482"/>
      <c r="O36" s="200"/>
      <c r="P36" s="487"/>
      <c r="Q36" s="488"/>
      <c r="U36" s="14"/>
      <c r="V36" s="15">
        <v>8</v>
      </c>
    </row>
    <row r="37" spans="2:22" ht="15" customHeight="1">
      <c r="B37" s="491" t="s">
        <v>128</v>
      </c>
      <c r="C37" s="492"/>
      <c r="D37" s="493"/>
      <c r="E37" s="88">
        <f>IF(N21&gt;0,N21,H37)</f>
        <v>0</v>
      </c>
      <c r="F37" s="89">
        <v>0.045</v>
      </c>
      <c r="G37" s="494" t="s">
        <v>129</v>
      </c>
      <c r="H37" s="616">
        <f>IF(E24&gt;50520000,50520000*F37,E24*F37)</f>
        <v>0</v>
      </c>
      <c r="I37" s="617"/>
      <c r="J37" s="167"/>
      <c r="K37" s="5"/>
      <c r="L37" s="400"/>
      <c r="M37" s="481"/>
      <c r="N37" s="482"/>
      <c r="O37" s="200"/>
      <c r="P37" s="487"/>
      <c r="Q37" s="488"/>
      <c r="U37" s="14"/>
      <c r="V37" s="15">
        <v>9</v>
      </c>
    </row>
    <row r="38" spans="2:17" ht="15" customHeight="1">
      <c r="B38" s="470" t="s">
        <v>130</v>
      </c>
      <c r="C38" s="413" t="s">
        <v>131</v>
      </c>
      <c r="D38" s="90" t="s">
        <v>132</v>
      </c>
      <c r="E38" s="91">
        <f>IF(L21&gt;0,L21,H38)</f>
        <v>0</v>
      </c>
      <c r="F38" s="195">
        <v>0.0312</v>
      </c>
      <c r="G38" s="495"/>
      <c r="H38" s="550">
        <f>E24*F38</f>
        <v>0</v>
      </c>
      <c r="I38" s="551"/>
      <c r="J38" s="291"/>
      <c r="K38" s="5"/>
      <c r="L38" s="400"/>
      <c r="M38" s="481"/>
      <c r="N38" s="482"/>
      <c r="O38" s="200"/>
      <c r="P38" s="487"/>
      <c r="Q38" s="488"/>
    </row>
    <row r="39" spans="2:17" ht="15" customHeight="1">
      <c r="B39" s="471"/>
      <c r="C39" s="414"/>
      <c r="D39" s="92" t="s">
        <v>133</v>
      </c>
      <c r="E39" s="93">
        <f>IF(M21&gt;0,M21,H39)</f>
        <v>0</v>
      </c>
      <c r="F39" s="290">
        <f>F38*7.38%</f>
        <v>0.00230256</v>
      </c>
      <c r="G39" s="495"/>
      <c r="H39" s="550">
        <f>E24*F39</f>
        <v>0</v>
      </c>
      <c r="I39" s="551"/>
      <c r="J39" s="168"/>
      <c r="K39" s="5"/>
      <c r="L39" s="400"/>
      <c r="M39" s="483"/>
      <c r="N39" s="484"/>
      <c r="O39" s="201"/>
      <c r="P39" s="489"/>
      <c r="Q39" s="490"/>
    </row>
    <row r="40" spans="2:17" ht="15" customHeight="1">
      <c r="B40" s="471"/>
      <c r="C40" s="415"/>
      <c r="D40" s="94" t="s">
        <v>26</v>
      </c>
      <c r="E40" s="95">
        <f>IF(O21&gt;0,O21,H40)</f>
        <v>0</v>
      </c>
      <c r="F40" s="96">
        <v>0.0065</v>
      </c>
      <c r="G40" s="496"/>
      <c r="H40" s="552">
        <f>E24*F40</f>
        <v>0</v>
      </c>
      <c r="I40" s="553"/>
      <c r="J40" s="168"/>
      <c r="K40" s="5"/>
      <c r="L40" s="400"/>
      <c r="M40" s="433" t="s">
        <v>231</v>
      </c>
      <c r="N40" s="196" t="s">
        <v>224</v>
      </c>
      <c r="O40" s="197" t="s">
        <v>226</v>
      </c>
      <c r="P40" s="244" t="s">
        <v>227</v>
      </c>
      <c r="Q40" s="214" t="s">
        <v>228</v>
      </c>
    </row>
    <row r="41" spans="2:17" ht="15" customHeight="1">
      <c r="B41" s="471"/>
      <c r="C41" s="413" t="s">
        <v>42</v>
      </c>
      <c r="D41" s="186" t="s">
        <v>43</v>
      </c>
      <c r="E41" s="91">
        <f>IF(INT(O51*0.4)+E46&gt;Q48,Q48-E46,INT(O51*0.4))</f>
        <v>0</v>
      </c>
      <c r="F41" s="473" t="s">
        <v>44</v>
      </c>
      <c r="G41" s="474"/>
      <c r="H41" s="499">
        <f>Q48</f>
        <v>3000000</v>
      </c>
      <c r="I41" s="417"/>
      <c r="J41" s="165"/>
      <c r="K41" s="5"/>
      <c r="L41" s="400"/>
      <c r="M41" s="434"/>
      <c r="N41" s="198"/>
      <c r="O41" s="26"/>
      <c r="P41" s="198"/>
      <c r="Q41" s="211">
        <v>3000000</v>
      </c>
    </row>
    <row r="42" spans="2:24" ht="15" customHeight="1">
      <c r="B42" s="471"/>
      <c r="C42" s="415"/>
      <c r="D42" s="86" t="s">
        <v>134</v>
      </c>
      <c r="E42" s="97">
        <f>IF(O56&gt;0,MIN(O56,H42),0)</f>
        <v>0</v>
      </c>
      <c r="F42" s="497" t="s">
        <v>135</v>
      </c>
      <c r="G42" s="498"/>
      <c r="H42" s="548">
        <f>IF(AND(E41+E46+O56&gt;Q53,Q53-E46-E41&gt;0),Q53-E46-E41,Q53)</f>
        <v>0</v>
      </c>
      <c r="I42" s="549"/>
      <c r="J42" s="165"/>
      <c r="K42" s="5"/>
      <c r="L42" s="400"/>
      <c r="M42" s="434"/>
      <c r="N42" s="199"/>
      <c r="O42" s="29"/>
      <c r="P42" s="199"/>
      <c r="Q42" s="215" t="s">
        <v>225</v>
      </c>
      <c r="U42" s="183" t="s">
        <v>136</v>
      </c>
      <c r="V42" s="183" t="s">
        <v>137</v>
      </c>
      <c r="W42" s="183" t="s">
        <v>138</v>
      </c>
      <c r="X42" s="183" t="s">
        <v>139</v>
      </c>
    </row>
    <row r="43" spans="2:24" ht="15" customHeight="1">
      <c r="B43" s="472"/>
      <c r="C43" s="506" t="s">
        <v>140</v>
      </c>
      <c r="D43" s="507"/>
      <c r="E43" s="98">
        <v>0</v>
      </c>
      <c r="F43" s="508" t="s">
        <v>141</v>
      </c>
      <c r="G43" s="509"/>
      <c r="H43" s="509"/>
      <c r="I43" s="510"/>
      <c r="J43" s="169"/>
      <c r="K43" s="5"/>
      <c r="L43" s="400"/>
      <c r="M43" s="434"/>
      <c r="N43" s="199"/>
      <c r="O43" s="29"/>
      <c r="P43" s="199"/>
      <c r="Q43" s="211">
        <v>500000</v>
      </c>
      <c r="R43" s="5"/>
      <c r="U43" s="183" t="s">
        <v>142</v>
      </c>
      <c r="V43" s="183" t="s">
        <v>143</v>
      </c>
      <c r="W43" s="183" t="s">
        <v>144</v>
      </c>
      <c r="X43" s="183" t="s">
        <v>145</v>
      </c>
    </row>
    <row r="44" spans="2:24" ht="15" customHeight="1">
      <c r="B44" s="470" t="s">
        <v>146</v>
      </c>
      <c r="C44" s="395" t="s">
        <v>147</v>
      </c>
      <c r="D44" s="396"/>
      <c r="E44" s="91">
        <f>MIN(INT(O62*0.4),H44)</f>
        <v>0</v>
      </c>
      <c r="F44" s="473" t="s">
        <v>32</v>
      </c>
      <c r="G44" s="474"/>
      <c r="H44" s="499">
        <f>P62</f>
        <v>720000</v>
      </c>
      <c r="I44" s="417"/>
      <c r="J44" s="165"/>
      <c r="K44" s="5"/>
      <c r="L44" s="400"/>
      <c r="M44" s="434"/>
      <c r="N44" s="199"/>
      <c r="O44" s="29"/>
      <c r="P44" s="199"/>
      <c r="Q44" s="215" t="s">
        <v>229</v>
      </c>
      <c r="R44" s="5"/>
      <c r="U44" s="183" t="s">
        <v>69</v>
      </c>
      <c r="V44" s="183" t="s">
        <v>70</v>
      </c>
      <c r="W44" s="183" t="s">
        <v>71</v>
      </c>
      <c r="X44" s="183" t="s">
        <v>72</v>
      </c>
    </row>
    <row r="45" spans="2:22" ht="15" customHeight="1">
      <c r="B45" s="471"/>
      <c r="C45" s="467" t="s">
        <v>148</v>
      </c>
      <c r="D45" s="468"/>
      <c r="E45" s="93">
        <f>MIN(INT(O63),P63)</f>
        <v>0</v>
      </c>
      <c r="F45" s="475" t="s">
        <v>45</v>
      </c>
      <c r="G45" s="476"/>
      <c r="H45" s="500">
        <f>P63</f>
        <v>5000000</v>
      </c>
      <c r="I45" s="383"/>
      <c r="J45" s="165"/>
      <c r="K45" s="5"/>
      <c r="L45" s="400"/>
      <c r="M45" s="435"/>
      <c r="N45" s="202"/>
      <c r="O45" s="44"/>
      <c r="P45" s="202"/>
      <c r="Q45" s="211">
        <v>300000</v>
      </c>
      <c r="U45" s="183" t="s">
        <v>149</v>
      </c>
      <c r="V45" s="183" t="s">
        <v>150</v>
      </c>
    </row>
    <row r="46" spans="2:21" ht="15" customHeight="1">
      <c r="B46" s="471"/>
      <c r="C46" s="379" t="s">
        <v>151</v>
      </c>
      <c r="D46" s="380"/>
      <c r="E46" s="93">
        <f>INT(Q50*0.4)</f>
        <v>0</v>
      </c>
      <c r="F46" s="475" t="s">
        <v>152</v>
      </c>
      <c r="G46" s="476"/>
      <c r="H46" s="500">
        <f>Q48</f>
        <v>3000000</v>
      </c>
      <c r="I46" s="383"/>
      <c r="J46" s="165"/>
      <c r="K46" s="5"/>
      <c r="L46" s="401"/>
      <c r="M46" s="501" t="s">
        <v>153</v>
      </c>
      <c r="N46" s="502"/>
      <c r="O46" s="36"/>
      <c r="P46" s="503" t="s">
        <v>31</v>
      </c>
      <c r="Q46" s="389"/>
      <c r="U46" s="183" t="s">
        <v>154</v>
      </c>
    </row>
    <row r="47" spans="2:17" ht="15" customHeight="1">
      <c r="B47" s="471"/>
      <c r="C47" s="455" t="s">
        <v>155</v>
      </c>
      <c r="D47" s="456"/>
      <c r="E47" s="203">
        <f>MIN(INT(O64),Q64)+MIN(INT(IF(O65&gt;50000000,32500000+(O65-50000000)*0.3,IF(O65&gt;15000000,15000000+(O65-15000000)*0.5,O65)))+INT(IF(O66&gt;50000000,44400000+(O66-50000000)*0.3,IF(O66&gt;30000000,30000000+(O66-30000000)*0.7,O66))),Q65)</f>
        <v>0</v>
      </c>
      <c r="F47" s="464" t="s">
        <v>246</v>
      </c>
      <c r="G47" s="469"/>
      <c r="H47" s="500" t="s">
        <v>156</v>
      </c>
      <c r="I47" s="383"/>
      <c r="J47" s="165"/>
      <c r="K47" s="5"/>
      <c r="L47" s="424" t="s">
        <v>157</v>
      </c>
      <c r="M47" s="433" t="s">
        <v>158</v>
      </c>
      <c r="N47" s="99" t="s">
        <v>159</v>
      </c>
      <c r="O47" s="26"/>
      <c r="P47" s="217">
        <v>1200000</v>
      </c>
      <c r="Q47" s="100" t="s">
        <v>160</v>
      </c>
    </row>
    <row r="48" spans="2:17" ht="15" customHeight="1">
      <c r="B48" s="471"/>
      <c r="C48" s="455" t="s">
        <v>161</v>
      </c>
      <c r="D48" s="456"/>
      <c r="E48" s="203">
        <f>IF(O70&gt;0,MIN(Q75,H48),0)</f>
        <v>0</v>
      </c>
      <c r="F48" s="457" t="s">
        <v>162</v>
      </c>
      <c r="G48" s="458"/>
      <c r="H48" s="568">
        <f>IF(Q75&gt;Q70,Q70+MIN(P78,Q80)+MIN(P79,Q80)+MIN(P80,Q80),Q70)</f>
        <v>0</v>
      </c>
      <c r="I48" s="569"/>
      <c r="J48" s="165"/>
      <c r="K48" s="5"/>
      <c r="L48" s="425"/>
      <c r="M48" s="434"/>
      <c r="N48" s="188" t="s">
        <v>163</v>
      </c>
      <c r="O48" s="29"/>
      <c r="P48" s="224">
        <f>IF(E24&gt;70000000,0,1200000)</f>
        <v>1200000</v>
      </c>
      <c r="Q48" s="216">
        <v>3000000</v>
      </c>
    </row>
    <row r="49" spans="2:19" ht="15" customHeight="1">
      <c r="B49" s="471"/>
      <c r="C49" s="379" t="s">
        <v>164</v>
      </c>
      <c r="D49" s="380"/>
      <c r="E49" s="93">
        <f>MIN(INT(O67),P67)</f>
        <v>0</v>
      </c>
      <c r="F49" s="464" t="s">
        <v>165</v>
      </c>
      <c r="G49" s="465"/>
      <c r="H49" s="465"/>
      <c r="I49" s="466"/>
      <c r="J49" s="170"/>
      <c r="K49" s="5"/>
      <c r="L49" s="425"/>
      <c r="M49" s="434"/>
      <c r="N49" s="101" t="s">
        <v>166</v>
      </c>
      <c r="O49" s="102"/>
      <c r="P49" s="103">
        <f>IF(E24&gt;70000000,0,2400000)</f>
        <v>2400000</v>
      </c>
      <c r="Q49" s="100" t="s">
        <v>167</v>
      </c>
      <c r="S49" s="5"/>
    </row>
    <row r="50" spans="2:19" ht="15" customHeight="1">
      <c r="B50" s="471"/>
      <c r="C50" s="467" t="s">
        <v>168</v>
      </c>
      <c r="D50" s="468"/>
      <c r="E50" s="93">
        <f>MIN(INT(O68*0.5),P68)</f>
        <v>0</v>
      </c>
      <c r="F50" s="464" t="s">
        <v>169</v>
      </c>
      <c r="G50" s="469"/>
      <c r="H50" s="570">
        <f>P68</f>
        <v>10000000</v>
      </c>
      <c r="I50" s="571"/>
      <c r="J50" s="167"/>
      <c r="K50" s="5"/>
      <c r="L50" s="426"/>
      <c r="M50" s="435"/>
      <c r="N50" s="104" t="s">
        <v>170</v>
      </c>
      <c r="O50" s="44"/>
      <c r="P50" s="220">
        <v>1800000</v>
      </c>
      <c r="Q50" s="216">
        <f>MIN(INT(O47),P47)+MIN(INT(O48),P48)+MIN(INT(O49),P49)+MIN(INT(O50),P50)</f>
        <v>0</v>
      </c>
      <c r="S50" s="5"/>
    </row>
    <row r="51" spans="2:17" ht="15" customHeight="1">
      <c r="B51" s="472"/>
      <c r="C51" s="420" t="s">
        <v>171</v>
      </c>
      <c r="D51" s="421"/>
      <c r="E51" s="95">
        <f>MIN(INT(O69*0.4),Q69)</f>
        <v>0</v>
      </c>
      <c r="F51" s="422" t="s">
        <v>172</v>
      </c>
      <c r="G51" s="423"/>
      <c r="H51" s="572">
        <f>Q69</f>
        <v>2400000</v>
      </c>
      <c r="I51" s="573"/>
      <c r="J51" s="167"/>
      <c r="K51" s="5"/>
      <c r="L51" s="424" t="s">
        <v>46</v>
      </c>
      <c r="M51" s="427" t="s">
        <v>47</v>
      </c>
      <c r="N51" s="427"/>
      <c r="O51" s="36"/>
      <c r="P51" s="212">
        <v>3000000</v>
      </c>
      <c r="Q51" s="105"/>
    </row>
    <row r="52" spans="2:17" ht="15" customHeight="1">
      <c r="B52" s="428" t="s">
        <v>51</v>
      </c>
      <c r="C52" s="429"/>
      <c r="D52" s="430"/>
      <c r="E52" s="88">
        <f>SUM(E41:E51)-E44-E50</f>
        <v>0</v>
      </c>
      <c r="F52" s="431" t="s">
        <v>52</v>
      </c>
      <c r="G52" s="432"/>
      <c r="H52" s="608">
        <v>25000000</v>
      </c>
      <c r="I52" s="609"/>
      <c r="J52" s="171"/>
      <c r="K52" s="5"/>
      <c r="L52" s="425"/>
      <c r="M52" s="433" t="s">
        <v>48</v>
      </c>
      <c r="N52" s="185" t="s">
        <v>73</v>
      </c>
      <c r="O52" s="60"/>
      <c r="P52" s="210" t="s">
        <v>74</v>
      </c>
      <c r="Q52" s="106" t="s">
        <v>49</v>
      </c>
    </row>
    <row r="53" spans="2:19" ht="15" customHeight="1">
      <c r="B53" s="428" t="s">
        <v>33</v>
      </c>
      <c r="C53" s="429"/>
      <c r="D53" s="430"/>
      <c r="E53" s="436">
        <f>IF(E52&gt;H52,SUM(E27:E40)+E44+SUM(E50:E50)+H52,SUM(E27:E51))</f>
        <v>1500000</v>
      </c>
      <c r="F53" s="437"/>
      <c r="G53" s="437"/>
      <c r="H53" s="437"/>
      <c r="I53" s="438"/>
      <c r="J53" s="172"/>
      <c r="K53" s="5"/>
      <c r="L53" s="425"/>
      <c r="M53" s="434"/>
      <c r="N53" s="107" t="s">
        <v>75</v>
      </c>
      <c r="O53" s="61"/>
      <c r="P53" s="108">
        <f>IF(O52=U43,IF(O53=V43,6000000,IF(O53=V44,10000000,IF(O53=V45,15000000,0))),0)</f>
        <v>0</v>
      </c>
      <c r="Q53" s="109">
        <f>MAX(P53,P54,P55,P56)</f>
        <v>0</v>
      </c>
      <c r="S53" s="117"/>
    </row>
    <row r="54" spans="2:20" ht="13.5">
      <c r="B54" s="439" t="s">
        <v>18</v>
      </c>
      <c r="C54" s="440"/>
      <c r="D54" s="441"/>
      <c r="E54" s="442">
        <f>MAX(E26-E53,0)</f>
        <v>0</v>
      </c>
      <c r="F54" s="442"/>
      <c r="G54" s="442"/>
      <c r="H54" s="442"/>
      <c r="I54" s="443"/>
      <c r="J54" s="163"/>
      <c r="K54" s="5"/>
      <c r="L54" s="425"/>
      <c r="M54" s="434"/>
      <c r="N54" s="107" t="s">
        <v>76</v>
      </c>
      <c r="O54" s="61"/>
      <c r="P54" s="108">
        <f>IF(O52=U44,IF(O53=V44,10000000,IF(O53=V45,15000000,0)),0)</f>
        <v>0</v>
      </c>
      <c r="Q54" s="110"/>
      <c r="S54" s="5"/>
      <c r="T54" s="5"/>
    </row>
    <row r="55" spans="2:20" ht="13.5">
      <c r="B55" s="444" t="s">
        <v>19</v>
      </c>
      <c r="C55" s="445"/>
      <c r="D55" s="446"/>
      <c r="E55" s="447">
        <f>INT(IF(E54&gt;500000000,174600000+(E54-500000000)*0.42,IF(E54&gt;300000000,94600000+(E54-300000000)*0.4,IF(E54&gt;150000000,37600000+(E54-150000000)*0.38,IF(E54&gt;88000000,15900000+(E54-88000000)*0.35,IF(E54&gt;46000000,5820000+(E54-46000000)*0.24,IF(E54&gt;12000000,720000+(E54-12000000)*0.15,E54*0.06)))))))</f>
        <v>0</v>
      </c>
      <c r="F55" s="447"/>
      <c r="G55" s="447"/>
      <c r="H55" s="447"/>
      <c r="I55" s="448"/>
      <c r="J55" s="163"/>
      <c r="K55" s="5"/>
      <c r="L55" s="425"/>
      <c r="M55" s="434"/>
      <c r="N55" s="111" t="s">
        <v>77</v>
      </c>
      <c r="O55" s="62"/>
      <c r="P55" s="112">
        <f>IF(O52=U45,IF(OR(O53=V44,O53=V45),IF(OR(O54=W43,O55=X43),15000000,5000000),0),0)</f>
        <v>0</v>
      </c>
      <c r="Q55" s="113"/>
      <c r="T55" s="5"/>
    </row>
    <row r="56" spans="2:17" ht="15" customHeight="1">
      <c r="B56" s="449" t="s">
        <v>233</v>
      </c>
      <c r="C56" s="450"/>
      <c r="D56" s="451"/>
      <c r="E56" s="118" t="s">
        <v>64</v>
      </c>
      <c r="F56" s="56">
        <v>20000000</v>
      </c>
      <c r="G56" s="193" t="s">
        <v>80</v>
      </c>
      <c r="H56" s="586" t="s">
        <v>65</v>
      </c>
      <c r="I56" s="587"/>
      <c r="J56" s="173"/>
      <c r="K56" s="5"/>
      <c r="L56" s="426"/>
      <c r="M56" s="435"/>
      <c r="N56" s="114" t="s">
        <v>78</v>
      </c>
      <c r="O56" s="63"/>
      <c r="P56" s="115">
        <f>IF(O52=U46,IF(AND(O53=V43,OR(O54=W43,O55=X43)),3000000,IF(OR(O53=V44,O53=V45),IF(AND(O54=W43,O55=X43),18000000,IF(OR(O54=W43,O55=X43),15000000,5000000)),0)),0)</f>
        <v>0</v>
      </c>
      <c r="Q56" s="116"/>
    </row>
    <row r="57" spans="2:21" ht="15" customHeight="1">
      <c r="B57" s="452"/>
      <c r="C57" s="453"/>
      <c r="D57" s="454"/>
      <c r="E57" s="288" t="s">
        <v>53</v>
      </c>
      <c r="F57" s="119">
        <v>0</v>
      </c>
      <c r="G57" s="120">
        <v>1500000</v>
      </c>
      <c r="H57" s="588" t="e">
        <f>IF(F57&gt;=0.7,MIN(G57,E55*(F56/E24)*F57),E55*(F56/E24)*F57)</f>
        <v>#DIV/0!</v>
      </c>
      <c r="I57" s="589"/>
      <c r="J57" s="174"/>
      <c r="K57" s="5"/>
      <c r="L57" s="399" t="s">
        <v>81</v>
      </c>
      <c r="M57" s="402" t="s">
        <v>50</v>
      </c>
      <c r="N57" s="402"/>
      <c r="O57" s="26"/>
      <c r="P57" s="416">
        <f>E26</f>
        <v>0</v>
      </c>
      <c r="Q57" s="417"/>
      <c r="S57" s="5"/>
      <c r="U57" s="5"/>
    </row>
    <row r="58" spans="2:21" ht="13.5" customHeight="1">
      <c r="B58" s="355" t="s">
        <v>173</v>
      </c>
      <c r="C58" s="358" t="s">
        <v>174</v>
      </c>
      <c r="D58" s="359"/>
      <c r="E58" s="121">
        <f>IF(F57&gt;0,MIN(INT(IF(E55&gt;1300000,715000+(E55-1300000)*0.3,E55*0.55)),H58)*(1-H57/E55),MIN(INT(IF(E55&gt;1300000,715000+(E55-1300000)*0.3,E55*0.55)),H58))</f>
        <v>0</v>
      </c>
      <c r="F58" s="360" t="s">
        <v>175</v>
      </c>
      <c r="G58" s="361"/>
      <c r="H58" s="590">
        <f>IF(E24&gt;70320000,500000,IF(E24&gt;70000000,660000-(E24-70000000)*0.5,IF(E24&gt;43000000,660000,IF(E24&gt;33000000,740000-(E24-33000000)*0.008,740000))))</f>
        <v>740000</v>
      </c>
      <c r="I58" s="591"/>
      <c r="J58" s="175"/>
      <c r="K58" s="5"/>
      <c r="L58" s="400"/>
      <c r="M58" s="362" t="s">
        <v>176</v>
      </c>
      <c r="N58" s="362"/>
      <c r="O58" s="29"/>
      <c r="P58" s="319">
        <f>E26</f>
        <v>0</v>
      </c>
      <c r="Q58" s="320"/>
      <c r="S58" s="5"/>
      <c r="U58" s="5"/>
    </row>
    <row r="59" spans="2:17" ht="13.5" customHeight="1">
      <c r="B59" s="356"/>
      <c r="C59" s="418" t="s">
        <v>177</v>
      </c>
      <c r="D59" s="419"/>
      <c r="E59" s="252">
        <f>IF(F59&gt;=3,(F59-2)*300000+300000,F59*150000)</f>
        <v>0</v>
      </c>
      <c r="F59" s="253"/>
      <c r="G59" s="384" t="s">
        <v>243</v>
      </c>
      <c r="H59" s="384"/>
      <c r="I59" s="385"/>
      <c r="J59" s="176"/>
      <c r="K59" s="5"/>
      <c r="L59" s="400"/>
      <c r="M59" s="365" t="s">
        <v>178</v>
      </c>
      <c r="N59" s="366"/>
      <c r="O59" s="29"/>
      <c r="P59" s="381">
        <f>INT((E26-IF(O57&lt;P57,O57,P57)-IF(O58&lt;P58,O58,P58))*0.3)</f>
        <v>0</v>
      </c>
      <c r="Q59" s="383"/>
    </row>
    <row r="60" spans="2:17" ht="13.5" customHeight="1">
      <c r="B60" s="356"/>
      <c r="C60" s="403" t="s">
        <v>179</v>
      </c>
      <c r="D60" s="404"/>
      <c r="E60" s="250">
        <f>IF(F60&gt;1,(F60-1)*0,0)</f>
        <v>0</v>
      </c>
      <c r="F60" s="251">
        <v>0</v>
      </c>
      <c r="G60" s="367" t="s">
        <v>180</v>
      </c>
      <c r="H60" s="368"/>
      <c r="I60" s="369"/>
      <c r="J60" s="176"/>
      <c r="K60" s="5"/>
      <c r="L60" s="400"/>
      <c r="M60" s="365" t="s">
        <v>181</v>
      </c>
      <c r="N60" s="366"/>
      <c r="O60" s="45"/>
      <c r="P60" s="381">
        <f>INT((E26-IF(O57&lt;P57,O57,P57)-IF(O58&lt;P58,O58,P58)-IF(O59&lt;P59,O59,P59))*0.3)</f>
        <v>0</v>
      </c>
      <c r="Q60" s="386"/>
    </row>
    <row r="61" spans="2:17" ht="13.5" customHeight="1">
      <c r="B61" s="356"/>
      <c r="C61" s="125"/>
      <c r="D61" s="80" t="s">
        <v>182</v>
      </c>
      <c r="E61" s="124">
        <f>IF(F61=V28,0,IF(H61=X31,0,IF(F61&gt;=3,IF(H61=X28,1500000+700000*(F61-3),IF(H61=X29,1900000+700000*(F61-3),IF(H61=X30,700000*F61))),IF(F61&gt;=2,IF(H61=X28,800000,IF(H61=X29,1200000,IF(H61=X30,1400000))),IF(F61&gt;=1,IF(H61=X28,300000,IF(H61=X29,500000,IF(H61=X30,700000))))))))</f>
        <v>0</v>
      </c>
      <c r="F61" s="47">
        <v>0</v>
      </c>
      <c r="G61" s="243" t="s">
        <v>220</v>
      </c>
      <c r="H61" s="592" t="s">
        <v>79</v>
      </c>
      <c r="I61" s="593"/>
      <c r="J61" s="176"/>
      <c r="K61" s="5"/>
      <c r="L61" s="401"/>
      <c r="M61" s="387" t="s">
        <v>183</v>
      </c>
      <c r="N61" s="387"/>
      <c r="O61" s="44"/>
      <c r="P61" s="388">
        <f>INT((E26-IF(O57&lt;P57,O57,P57)-IF(O58&lt;P58,O58,P58)-IF(O59&lt;P59,O59,P59))*0.1)</f>
        <v>0</v>
      </c>
      <c r="Q61" s="389"/>
    </row>
    <row r="62" spans="2:18" ht="13.5" customHeight="1">
      <c r="B62" s="356"/>
      <c r="C62" s="370" t="s">
        <v>184</v>
      </c>
      <c r="D62" s="371"/>
      <c r="E62" s="126">
        <f>IF(E24&gt;55000000,INT(MIN(SUM(O81:O83),Q83)*12%),INT(MIN(SUM(O81:O83),Q83)*15%))</f>
        <v>0</v>
      </c>
      <c r="F62" s="372" t="s">
        <v>185</v>
      </c>
      <c r="G62" s="373"/>
      <c r="H62" s="373"/>
      <c r="I62" s="374"/>
      <c r="J62" s="166"/>
      <c r="L62" s="424" t="s">
        <v>186</v>
      </c>
      <c r="M62" s="122" t="s">
        <v>35</v>
      </c>
      <c r="N62" s="123"/>
      <c r="O62" s="46"/>
      <c r="P62" s="411">
        <v>720000</v>
      </c>
      <c r="Q62" s="412"/>
      <c r="R62" s="184"/>
    </row>
    <row r="63" spans="2:17" ht="13.5" customHeight="1">
      <c r="B63" s="356"/>
      <c r="C63" s="413" t="s">
        <v>187</v>
      </c>
      <c r="D63" s="221" t="s">
        <v>188</v>
      </c>
      <c r="E63" s="127">
        <f>INT(MIN(INT(O25),Q25)*P25+MIN(INT(O26),Q25)*P26)</f>
        <v>0</v>
      </c>
      <c r="F63" s="344" t="s">
        <v>189</v>
      </c>
      <c r="G63" s="397"/>
      <c r="H63" s="397"/>
      <c r="I63" s="398"/>
      <c r="J63" s="176"/>
      <c r="L63" s="425"/>
      <c r="M63" s="122" t="s">
        <v>34</v>
      </c>
      <c r="N63" s="123"/>
      <c r="O63" s="204"/>
      <c r="P63" s="405">
        <f>IF(E24&gt;100000000,2000000,IF(E24&gt;40000000,3000000,5000000))</f>
        <v>5000000</v>
      </c>
      <c r="Q63" s="406"/>
    </row>
    <row r="64" spans="2:18" ht="13.5" customHeight="1">
      <c r="B64" s="356"/>
      <c r="C64" s="414"/>
      <c r="D64" s="219" t="s">
        <v>99</v>
      </c>
      <c r="E64" s="128">
        <f>IF(O27+O28+MIN(INT(O29),Q29)+MIN(INT(O30),Q29)+MIN(INT(P29),Q29)+MIN(INT(P30),Q29)+O31+MIN(INT(O32),Q32)+MIN(INT(O33),Q32)+MIN(INT(P32),Q32)+MIN(INT(P33),Q32)-Q27&gt;0,(INT(MIN(O31+MIN(INT(O32),Q32)+MIN(INT(O33),Q32)+MIN(INT(P32),Q32)+MIN(INT(P33),Q32),P31))+O27+MIN(INT(O29),Q29)+MIN(INT(O30),Q29)+MIN(INT(P29),Q29)+MIN(INT(P30),Q29))*H64+O28*Q28-Q27*H64,0)</f>
        <v>0</v>
      </c>
      <c r="F64" s="407" t="s">
        <v>190</v>
      </c>
      <c r="G64" s="408"/>
      <c r="H64" s="594">
        <v>0.15</v>
      </c>
      <c r="I64" s="595"/>
      <c r="J64" s="177"/>
      <c r="L64" s="425"/>
      <c r="M64" s="579" t="s">
        <v>191</v>
      </c>
      <c r="N64" s="580"/>
      <c r="O64" s="260"/>
      <c r="P64" s="210" t="s">
        <v>249</v>
      </c>
      <c r="Q64" s="218">
        <v>3000000</v>
      </c>
      <c r="R64" s="184"/>
    </row>
    <row r="65" spans="2:17" ht="13.5" customHeight="1">
      <c r="B65" s="356"/>
      <c r="C65" s="414"/>
      <c r="D65" s="80" t="s">
        <v>192</v>
      </c>
      <c r="E65" s="128">
        <f>INT((O34+O46+MIN(1*O35,P35)+MIN(1*O36,P35)+MIN(1*O37,P35)+MIN(1*O38,P35)+MIN(1*O39,P35)+MIN(1*N41+MIN(1*O41,Q43)+MIN(1*P41,Q45),Q41)+MIN(1*N42+MIN(1*O42,Q43)+MIN(1*P42,Q45),Q41)+MIN(1*N43+MIN(1*O43,Q43)+MIN(1*P43,Q45),Q41)+MIN(1*N44+MIN(1*O44,Q43)+MIN(1*P44,Q45),Q41)+MIN(1*N45+MIN(1*O45,Q43)+MIN(1*P45,Q45),Q41))*H65)</f>
        <v>0</v>
      </c>
      <c r="F65" s="407" t="s">
        <v>193</v>
      </c>
      <c r="G65" s="408"/>
      <c r="H65" s="594">
        <v>0.15</v>
      </c>
      <c r="I65" s="595"/>
      <c r="J65" s="177"/>
      <c r="L65" s="425"/>
      <c r="M65" s="581"/>
      <c r="N65" s="582"/>
      <c r="O65" s="41"/>
      <c r="P65" s="263" t="s">
        <v>248</v>
      </c>
      <c r="Q65" s="584">
        <f>E26*0.5</f>
        <v>0</v>
      </c>
    </row>
    <row r="66" spans="2:18" ht="13.5" customHeight="1">
      <c r="B66" s="356"/>
      <c r="C66" s="414"/>
      <c r="D66" s="80" t="s">
        <v>194</v>
      </c>
      <c r="E66" s="128">
        <f>INT(IF(O57&gt;30000000,4485000+(O57-30000000)*0.25+10000000/110,IF(O57&gt;100000,(O57-100000)*0.15+10000000/110,IF(O57&gt;0,O57*(100/110)))))</f>
        <v>0</v>
      </c>
      <c r="F66" s="300" t="s">
        <v>195</v>
      </c>
      <c r="G66" s="384"/>
      <c r="H66" s="384"/>
      <c r="I66" s="385"/>
      <c r="J66" s="176"/>
      <c r="L66" s="425"/>
      <c r="M66" s="583"/>
      <c r="N66" s="526"/>
      <c r="O66" s="262"/>
      <c r="P66" s="261" t="s">
        <v>247</v>
      </c>
      <c r="Q66" s="585"/>
      <c r="R66" s="184"/>
    </row>
    <row r="67" spans="2:17" ht="13.5" customHeight="1">
      <c r="B67" s="356"/>
      <c r="C67" s="414"/>
      <c r="D67" s="80" t="s">
        <v>196</v>
      </c>
      <c r="E67" s="128">
        <f>INT(IF(IF(O60+O61&gt;P60,P60,MIN(INT(O60),P60)+MIN(INT(O61),P61))+MIN(INT(O59),P59)+MIN(INT(O58),P58)&gt;20000000,(IF(O60+O61&gt;P60,P60,MIN(INT(O60),P60)+MIN(INT(O61),P61))+MIN(INT(O59),P59)+MIN(INT(O58),P58)-20000000)*0.3+20000000*0.15,(IF(O60+O61&gt;P60,P60,MIN(INT(O60),P60)+MIN(INT(O61),P61))+MIN(INT(O59),P59)+MIN(INT(O58),P58))*0.15))</f>
        <v>0</v>
      </c>
      <c r="F67" s="300" t="s">
        <v>197</v>
      </c>
      <c r="G67" s="384"/>
      <c r="H67" s="384"/>
      <c r="I67" s="385"/>
      <c r="J67" s="178"/>
      <c r="L67" s="425"/>
      <c r="M67" s="122" t="s">
        <v>250</v>
      </c>
      <c r="N67" s="123"/>
      <c r="O67" s="27"/>
      <c r="P67" s="409">
        <v>15000000</v>
      </c>
      <c r="Q67" s="410"/>
    </row>
    <row r="68" spans="2:17" ht="13.5" customHeight="1">
      <c r="B68" s="356"/>
      <c r="C68" s="415"/>
      <c r="D68" s="222" t="s">
        <v>200</v>
      </c>
      <c r="E68" s="126">
        <f>IF(SUM(E63:E67)+SUM(E38:E42)&gt;0,0,130000)</f>
        <v>130000</v>
      </c>
      <c r="F68" s="392" t="s">
        <v>201</v>
      </c>
      <c r="G68" s="393"/>
      <c r="H68" s="393"/>
      <c r="I68" s="394"/>
      <c r="J68" s="176"/>
      <c r="L68" s="425"/>
      <c r="M68" s="122" t="s">
        <v>36</v>
      </c>
      <c r="N68" s="123"/>
      <c r="O68" s="27"/>
      <c r="P68" s="405">
        <v>10000000</v>
      </c>
      <c r="Q68" s="406"/>
    </row>
    <row r="69" spans="2:20" ht="13.5" customHeight="1">
      <c r="B69" s="356"/>
      <c r="C69" s="395" t="s">
        <v>203</v>
      </c>
      <c r="D69" s="396"/>
      <c r="E69" s="127">
        <f>INT(O84*Q84)</f>
        <v>0</v>
      </c>
      <c r="F69" s="344" t="s">
        <v>204</v>
      </c>
      <c r="G69" s="397"/>
      <c r="H69" s="397"/>
      <c r="I69" s="398"/>
      <c r="J69" s="176"/>
      <c r="K69" s="184"/>
      <c r="L69" s="426"/>
      <c r="M69" s="390" t="s">
        <v>198</v>
      </c>
      <c r="N69" s="391"/>
      <c r="O69" s="27"/>
      <c r="P69" s="129" t="s">
        <v>199</v>
      </c>
      <c r="Q69" s="153">
        <v>2400000</v>
      </c>
      <c r="T69" s="5"/>
    </row>
    <row r="70" spans="2:20" ht="13.5" customHeight="1">
      <c r="B70" s="356"/>
      <c r="C70" s="379" t="s">
        <v>205</v>
      </c>
      <c r="D70" s="380"/>
      <c r="E70" s="133">
        <f>INT(O85*Q85)</f>
        <v>0</v>
      </c>
      <c r="F70" s="381" t="s">
        <v>206</v>
      </c>
      <c r="G70" s="382"/>
      <c r="H70" s="382"/>
      <c r="I70" s="383"/>
      <c r="J70" s="165"/>
      <c r="L70" s="574" t="s">
        <v>267</v>
      </c>
      <c r="M70" s="130" t="s">
        <v>202</v>
      </c>
      <c r="N70" s="131">
        <v>0.25</v>
      </c>
      <c r="O70" s="132">
        <f>INT(E24*N70)</f>
        <v>0</v>
      </c>
      <c r="P70" s="245" t="s">
        <v>235</v>
      </c>
      <c r="Q70" s="246">
        <f>IF(E24&gt;120000000,2000000,IF(E24&gt;70000000,2500000,MIN(E24*20%,3000000)))</f>
        <v>0</v>
      </c>
      <c r="T70" s="5"/>
    </row>
    <row r="71" spans="2:20" ht="13.5" customHeight="1">
      <c r="B71" s="356"/>
      <c r="C71" s="379" t="s">
        <v>207</v>
      </c>
      <c r="D71" s="380"/>
      <c r="E71" s="133">
        <f>MIN(INT(O86),IF(E26&gt;0,E55*(Q86/E26),0))</f>
        <v>0</v>
      </c>
      <c r="F71" s="300" t="s">
        <v>208</v>
      </c>
      <c r="G71" s="384"/>
      <c r="H71" s="384"/>
      <c r="I71" s="385"/>
      <c r="J71" s="176"/>
      <c r="L71" s="575"/>
      <c r="M71" s="264"/>
      <c r="N71" s="267" t="s">
        <v>252</v>
      </c>
      <c r="O71" s="279" t="s">
        <v>251</v>
      </c>
      <c r="P71" s="280" t="s">
        <v>253</v>
      </c>
      <c r="Q71" s="276"/>
      <c r="S71" s="285"/>
      <c r="T71" s="5"/>
    </row>
    <row r="72" spans="2:19" ht="13.5" customHeight="1" thickBot="1">
      <c r="B72" s="357"/>
      <c r="C72" s="375" t="s">
        <v>209</v>
      </c>
      <c r="D72" s="376"/>
      <c r="E72" s="134">
        <f>IF(E24&lt;70000000,INT(MIN(INT(O87),Q87)*H72),0)</f>
        <v>0</v>
      </c>
      <c r="F72" s="377" t="s">
        <v>232</v>
      </c>
      <c r="G72" s="378"/>
      <c r="H72" s="596">
        <f>IF(E24&gt;70000000,0,IF(E24&gt;55000000,0.1,0.12))</f>
        <v>0.12</v>
      </c>
      <c r="I72" s="597"/>
      <c r="J72" s="177"/>
      <c r="L72" s="575"/>
      <c r="M72" s="107" t="s">
        <v>255</v>
      </c>
      <c r="N72" s="208"/>
      <c r="O72" s="273"/>
      <c r="P72" s="158"/>
      <c r="Q72" s="283" t="s">
        <v>263</v>
      </c>
      <c r="S72" s="286"/>
    </row>
    <row r="73" spans="2:20" ht="13.5" customHeight="1" thickBot="1">
      <c r="B73" s="18"/>
      <c r="C73" s="31"/>
      <c r="D73" s="31"/>
      <c r="E73" s="32"/>
      <c r="F73" s="33"/>
      <c r="G73" s="33"/>
      <c r="H73" s="33"/>
      <c r="I73" s="34"/>
      <c r="J73" s="177"/>
      <c r="L73" s="575"/>
      <c r="M73" s="228" t="s">
        <v>212</v>
      </c>
      <c r="N73" s="209"/>
      <c r="O73" s="274"/>
      <c r="P73" s="277"/>
      <c r="Q73" s="282">
        <f>IF(O76&gt;=O70,INT(O70*Q76),IF(O76+O77&gt;=O70,INT(P76+(O70-O76)*Q77),IF(SUM(O76:O80)&gt;O70,INT(P76+P77+P80+(O70-O76-O77-O80)*Q78),0)))</f>
        <v>0</v>
      </c>
      <c r="R73" s="207"/>
      <c r="S73" s="285"/>
      <c r="T73" s="207"/>
    </row>
    <row r="74" spans="2:20" ht="13.5" customHeight="1">
      <c r="B74" s="302" t="s">
        <v>210</v>
      </c>
      <c r="C74" s="303"/>
      <c r="D74" s="304"/>
      <c r="E74" s="346" t="e">
        <f>MAX(E55-H57-SUM(E58:E72),0)</f>
        <v>#DIV/0!</v>
      </c>
      <c r="F74" s="347"/>
      <c r="G74" s="348"/>
      <c r="H74" s="598" t="e">
        <f>E74+E75</f>
        <v>#DIV/0!</v>
      </c>
      <c r="I74" s="599"/>
      <c r="J74" s="179"/>
      <c r="L74" s="575"/>
      <c r="M74" s="265" t="s">
        <v>254</v>
      </c>
      <c r="N74" s="209"/>
      <c r="O74" s="274"/>
      <c r="P74" s="277"/>
      <c r="Q74" s="284" t="s">
        <v>264</v>
      </c>
      <c r="R74" s="207"/>
      <c r="S74" s="287"/>
      <c r="T74" s="207"/>
    </row>
    <row r="75" spans="2:20" ht="13.5" customHeight="1" thickBot="1">
      <c r="B75" s="349" t="s">
        <v>37</v>
      </c>
      <c r="C75" s="350"/>
      <c r="D75" s="351"/>
      <c r="E75" s="352" t="e">
        <f>INT(E74*0.1)</f>
        <v>#DIV/0!</v>
      </c>
      <c r="F75" s="353"/>
      <c r="G75" s="354"/>
      <c r="H75" s="600"/>
      <c r="I75" s="601"/>
      <c r="J75" s="179"/>
      <c r="L75" s="575"/>
      <c r="M75" s="266" t="s">
        <v>260</v>
      </c>
      <c r="N75" s="268"/>
      <c r="O75" s="275"/>
      <c r="P75" s="278"/>
      <c r="Q75" s="281">
        <f>IF(SUM(O76:O80)&gt;O70,MAX(SUM(P76:P80)-Q73,0),0)</f>
        <v>0</v>
      </c>
      <c r="S75" s="5"/>
      <c r="T75" s="207"/>
    </row>
    <row r="76" spans="2:17" ht="13.5" customHeight="1" thickBot="1">
      <c r="B76" s="19"/>
      <c r="C76" s="19"/>
      <c r="D76" s="19"/>
      <c r="E76" s="20"/>
      <c r="F76" s="20"/>
      <c r="G76" s="20"/>
      <c r="H76" s="20"/>
      <c r="I76" s="20"/>
      <c r="J76" s="180"/>
      <c r="L76" s="575"/>
      <c r="M76" s="344" t="s">
        <v>256</v>
      </c>
      <c r="N76" s="345"/>
      <c r="O76" s="135">
        <f>IF(E24&gt;70000000,N72+N75,N72)</f>
        <v>0</v>
      </c>
      <c r="P76" s="136">
        <f>O76*Q76</f>
        <v>0</v>
      </c>
      <c r="Q76" s="137">
        <v>0.15</v>
      </c>
    </row>
    <row r="77" spans="2:18" ht="13.5" customHeight="1">
      <c r="B77" s="321" t="s">
        <v>211</v>
      </c>
      <c r="C77" s="322"/>
      <c r="D77" s="323"/>
      <c r="E77" s="329" t="e">
        <f>ROUNDDOWN(E74-O88,-1)</f>
        <v>#DIV/0!</v>
      </c>
      <c r="F77" s="330"/>
      <c r="G77" s="331"/>
      <c r="H77" s="602" t="e">
        <f>E77+E78+E79</f>
        <v>#DIV/0!</v>
      </c>
      <c r="I77" s="603"/>
      <c r="J77" s="179"/>
      <c r="L77" s="575"/>
      <c r="M77" s="300" t="s">
        <v>261</v>
      </c>
      <c r="N77" s="301"/>
      <c r="O77" s="138">
        <f>IF(E24&gt;70000000,O72+O75+P72+P75,O72+P72)</f>
        <v>0</v>
      </c>
      <c r="P77" s="139">
        <f>O77*Q77</f>
        <v>0</v>
      </c>
      <c r="Q77" s="140">
        <v>0.3</v>
      </c>
      <c r="R77" s="207"/>
    </row>
    <row r="78" spans="2:17" ht="13.5" customHeight="1">
      <c r="B78" s="332" t="s">
        <v>213</v>
      </c>
      <c r="C78" s="333"/>
      <c r="D78" s="334"/>
      <c r="E78" s="335" t="e">
        <f>ROUNDDOWN(E75-O89,-1)</f>
        <v>#DIV/0!</v>
      </c>
      <c r="F78" s="336"/>
      <c r="G78" s="337"/>
      <c r="H78" s="604"/>
      <c r="I78" s="605"/>
      <c r="J78" s="179"/>
      <c r="L78" s="575"/>
      <c r="M78" s="363" t="s">
        <v>257</v>
      </c>
      <c r="N78" s="364"/>
      <c r="O78" s="141">
        <f>SUM(N73:P73)</f>
        <v>0</v>
      </c>
      <c r="P78" s="142">
        <f>O78*Q78</f>
        <v>0</v>
      </c>
      <c r="Q78" s="247">
        <v>0.4</v>
      </c>
    </row>
    <row r="79" spans="2:17" ht="13.5" customHeight="1" thickBot="1">
      <c r="B79" s="338" t="s">
        <v>214</v>
      </c>
      <c r="C79" s="339"/>
      <c r="D79" s="340"/>
      <c r="E79" s="341">
        <f>E70*0.2</f>
        <v>0</v>
      </c>
      <c r="F79" s="342"/>
      <c r="G79" s="343"/>
      <c r="H79" s="606"/>
      <c r="I79" s="607"/>
      <c r="J79" s="179"/>
      <c r="L79" s="575"/>
      <c r="M79" s="363" t="s">
        <v>258</v>
      </c>
      <c r="N79" s="364"/>
      <c r="O79" s="269">
        <f>SUM(N74:P74)</f>
        <v>0</v>
      </c>
      <c r="P79" s="248">
        <f>O79*Q78</f>
        <v>0</v>
      </c>
      <c r="Q79" s="270" t="s">
        <v>262</v>
      </c>
    </row>
    <row r="80" spans="3:17" ht="13.5" customHeight="1">
      <c r="C80" s="22"/>
      <c r="E80" s="5"/>
      <c r="F80" s="23"/>
      <c r="J80" s="181"/>
      <c r="L80" s="576"/>
      <c r="M80" s="311" t="s">
        <v>259</v>
      </c>
      <c r="N80" s="312"/>
      <c r="O80" s="271">
        <f>IF(E24&gt;70000000,0,SUM(N75:P75))</f>
        <v>0</v>
      </c>
      <c r="P80" s="272">
        <f>O80*Q77</f>
        <v>0</v>
      </c>
      <c r="Q80" s="143">
        <v>1000000</v>
      </c>
    </row>
    <row r="81" spans="3:17" ht="13.5" customHeight="1">
      <c r="C81" s="24"/>
      <c r="G81" s="184"/>
      <c r="H81" s="226"/>
      <c r="J81" s="181"/>
      <c r="L81" s="313" t="s">
        <v>38</v>
      </c>
      <c r="M81" s="316" t="s">
        <v>54</v>
      </c>
      <c r="N81" s="227" t="s">
        <v>56</v>
      </c>
      <c r="O81" s="48"/>
      <c r="P81" s="144" t="s">
        <v>66</v>
      </c>
      <c r="Q81" s="218">
        <v>3000000</v>
      </c>
    </row>
    <row r="82" spans="3:17" ht="13.5" customHeight="1">
      <c r="C82" s="24"/>
      <c r="E82" s="184"/>
      <c r="F82" s="5"/>
      <c r="G82" s="184"/>
      <c r="H82" s="226"/>
      <c r="J82" s="181"/>
      <c r="L82" s="314"/>
      <c r="M82" s="317"/>
      <c r="N82" s="228" t="s">
        <v>57</v>
      </c>
      <c r="O82" s="49"/>
      <c r="P82" s="248" t="s">
        <v>67</v>
      </c>
      <c r="Q82" s="249">
        <f>IF(E24&gt;120000000,3000000,4000000)</f>
        <v>4000000</v>
      </c>
    </row>
    <row r="83" spans="3:17" ht="13.5" customHeight="1">
      <c r="C83" s="24"/>
      <c r="J83" s="181"/>
      <c r="L83" s="314"/>
      <c r="M83" s="318"/>
      <c r="N83" s="223" t="s">
        <v>215</v>
      </c>
      <c r="O83" s="50"/>
      <c r="P83" s="145" t="s">
        <v>68</v>
      </c>
      <c r="Q83" s="146">
        <f>IF(SUM(O81:O83)&gt;Q82,MIN(MIN(O82+O83,Q82)+O81,Q82+Q81),SUM(O81:O83))</f>
        <v>0</v>
      </c>
    </row>
    <row r="84" spans="3:19" ht="13.5" customHeight="1">
      <c r="C84" s="324"/>
      <c r="D84" s="324"/>
      <c r="E84" s="325"/>
      <c r="F84" s="324"/>
      <c r="G84" s="324"/>
      <c r="I84" s="184"/>
      <c r="J84" s="182"/>
      <c r="L84" s="314"/>
      <c r="M84" s="326" t="s">
        <v>55</v>
      </c>
      <c r="N84" s="327"/>
      <c r="O84" s="51"/>
      <c r="P84" s="147" t="s">
        <v>58</v>
      </c>
      <c r="Q84" s="148">
        <v>0.1</v>
      </c>
      <c r="S84" s="5"/>
    </row>
    <row r="85" spans="6:17" ht="13.5" customHeight="1">
      <c r="F85" s="184"/>
      <c r="J85" s="181"/>
      <c r="L85" s="314"/>
      <c r="M85" s="326" t="s">
        <v>59</v>
      </c>
      <c r="N85" s="327"/>
      <c r="O85" s="51"/>
      <c r="P85" s="147" t="s">
        <v>60</v>
      </c>
      <c r="Q85" s="148">
        <v>0.3</v>
      </c>
    </row>
    <row r="86" spans="6:17" ht="13.5" customHeight="1">
      <c r="F86" s="184"/>
      <c r="J86" s="181"/>
      <c r="L86" s="314"/>
      <c r="M86" s="326" t="s">
        <v>61</v>
      </c>
      <c r="N86" s="328"/>
      <c r="O86" s="51"/>
      <c r="P86" s="149" t="s">
        <v>62</v>
      </c>
      <c r="Q86" s="21"/>
    </row>
    <row r="87" spans="10:19" ht="13.5" customHeight="1">
      <c r="J87" s="181"/>
      <c r="L87" s="315"/>
      <c r="M87" s="326" t="s">
        <v>241</v>
      </c>
      <c r="N87" s="327"/>
      <c r="O87" s="51"/>
      <c r="P87" s="149" t="s">
        <v>63</v>
      </c>
      <c r="Q87" s="213">
        <v>7500000</v>
      </c>
      <c r="S87" s="207"/>
    </row>
    <row r="88" spans="12:17" ht="13.5" customHeight="1">
      <c r="L88" s="292" t="s">
        <v>16</v>
      </c>
      <c r="M88" s="293"/>
      <c r="N88" s="293"/>
      <c r="O88" s="132">
        <f>J21</f>
        <v>0</v>
      </c>
      <c r="P88" s="294"/>
      <c r="Q88" s="295"/>
    </row>
    <row r="89" spans="12:17" ht="13.5" customHeight="1" thickBot="1">
      <c r="L89" s="298" t="s">
        <v>17</v>
      </c>
      <c r="M89" s="299"/>
      <c r="N89" s="299"/>
      <c r="O89" s="150">
        <f>K21</f>
        <v>0</v>
      </c>
      <c r="P89" s="296"/>
      <c r="Q89" s="297"/>
    </row>
    <row r="90" spans="12:16" ht="13.5" customHeight="1">
      <c r="L90" s="5"/>
      <c r="M90" s="5"/>
      <c r="N90" s="5"/>
      <c r="O90" s="5"/>
      <c r="P90" s="5"/>
    </row>
    <row r="91" spans="12:16" ht="13.5" customHeight="1">
      <c r="L91" s="5"/>
      <c r="M91" s="5"/>
      <c r="N91" s="5"/>
      <c r="O91" s="5"/>
      <c r="P91" s="5"/>
    </row>
    <row r="92" spans="12:16" ht="13.5" customHeight="1">
      <c r="L92" s="5"/>
      <c r="M92" s="5"/>
      <c r="N92" s="5"/>
      <c r="O92" s="5"/>
      <c r="P92" s="5"/>
    </row>
    <row r="93" spans="12:16" ht="13.5" customHeight="1">
      <c r="L93" s="5"/>
      <c r="M93" s="5"/>
      <c r="N93" s="5"/>
      <c r="O93" s="5"/>
      <c r="P93" s="5"/>
    </row>
    <row r="94" spans="12:16" ht="12.75">
      <c r="L94" s="5"/>
      <c r="M94" s="5"/>
      <c r="N94" s="5"/>
      <c r="O94" s="5"/>
      <c r="P94" s="5"/>
    </row>
    <row r="95" spans="12:16" ht="12.75">
      <c r="L95" s="5"/>
      <c r="M95" s="5"/>
      <c r="N95" s="5"/>
      <c r="O95" s="5"/>
      <c r="P95" s="5"/>
    </row>
    <row r="96" spans="12:16" ht="12.75">
      <c r="L96" s="5"/>
      <c r="M96" s="5"/>
      <c r="N96" s="5"/>
      <c r="O96" s="5"/>
      <c r="P96" s="5"/>
    </row>
    <row r="97" spans="12:16" ht="12.75">
      <c r="L97" s="5"/>
      <c r="M97" s="5"/>
      <c r="N97" s="5"/>
      <c r="O97" s="25"/>
      <c r="P97" s="5"/>
    </row>
    <row r="98" spans="12:16" ht="12.75">
      <c r="L98" s="5"/>
      <c r="M98" s="5"/>
      <c r="N98" s="5"/>
      <c r="O98" s="5"/>
      <c r="P98" s="5"/>
    </row>
    <row r="99" spans="12:16" ht="12.75">
      <c r="L99" s="5"/>
      <c r="M99" s="5"/>
      <c r="N99" s="5"/>
      <c r="O99" s="5"/>
      <c r="P99" s="5"/>
    </row>
    <row r="100" spans="12:16" ht="12.75">
      <c r="L100" s="5"/>
      <c r="M100" s="5"/>
      <c r="N100" s="5"/>
      <c r="O100" s="5"/>
      <c r="P100" s="5"/>
    </row>
    <row r="101" spans="12:16" ht="12.75">
      <c r="L101" s="5"/>
      <c r="M101" s="5"/>
      <c r="N101" s="5"/>
      <c r="O101" s="5"/>
      <c r="P101" s="5"/>
    </row>
    <row r="107" ht="12.75">
      <c r="P107" s="17"/>
    </row>
  </sheetData>
  <sheetProtection/>
  <mergeCells count="192">
    <mergeCell ref="M79:N79"/>
    <mergeCell ref="L70:L80"/>
    <mergeCell ref="Q25:Q26"/>
    <mergeCell ref="M64:N66"/>
    <mergeCell ref="L62:L69"/>
    <mergeCell ref="Q65:Q66"/>
    <mergeCell ref="H56:I56"/>
    <mergeCell ref="H57:I57"/>
    <mergeCell ref="H58:I58"/>
    <mergeCell ref="H61:I61"/>
    <mergeCell ref="H64:I64"/>
    <mergeCell ref="H65:I65"/>
    <mergeCell ref="H72:I72"/>
    <mergeCell ref="H74:I75"/>
    <mergeCell ref="H77:I79"/>
    <mergeCell ref="H52:I52"/>
    <mergeCell ref="H27:I32"/>
    <mergeCell ref="H37:I37"/>
    <mergeCell ref="H38:I38"/>
    <mergeCell ref="B10:C10"/>
    <mergeCell ref="B11:C11"/>
    <mergeCell ref="B12:C12"/>
    <mergeCell ref="B13:C13"/>
    <mergeCell ref="B4:C4"/>
    <mergeCell ref="D4:E4"/>
    <mergeCell ref="F4:G4"/>
    <mergeCell ref="H34:I34"/>
    <mergeCell ref="H42:I42"/>
    <mergeCell ref="H39:I39"/>
    <mergeCell ref="H40:I40"/>
    <mergeCell ref="H41:I41"/>
    <mergeCell ref="H35:I35"/>
    <mergeCell ref="H33:I33"/>
    <mergeCell ref="B22:S22"/>
    <mergeCell ref="B24:D24"/>
    <mergeCell ref="E24:I24"/>
    <mergeCell ref="L24:N24"/>
    <mergeCell ref="P24:Q24"/>
    <mergeCell ref="B14:C14"/>
    <mergeCell ref="B15:C15"/>
    <mergeCell ref="B16:C16"/>
    <mergeCell ref="B17:C17"/>
    <mergeCell ref="B18:C18"/>
    <mergeCell ref="M4:Q4"/>
    <mergeCell ref="B6:Q6"/>
    <mergeCell ref="B1:Q1"/>
    <mergeCell ref="B3:C3"/>
    <mergeCell ref="D3:E3"/>
    <mergeCell ref="F3:G3"/>
    <mergeCell ref="M3:Q3"/>
    <mergeCell ref="B8:C8"/>
    <mergeCell ref="B9:C9"/>
    <mergeCell ref="B19:C19"/>
    <mergeCell ref="B20:C20"/>
    <mergeCell ref="B21:C21"/>
    <mergeCell ref="C33:C36"/>
    <mergeCell ref="B25:D25"/>
    <mergeCell ref="E25:I25"/>
    <mergeCell ref="L25:M26"/>
    <mergeCell ref="B26:D26"/>
    <mergeCell ref="E26:I26"/>
    <mergeCell ref="L27:L33"/>
    <mergeCell ref="G36:I36"/>
    <mergeCell ref="N29:N30"/>
    <mergeCell ref="Q29:Q30"/>
    <mergeCell ref="M34:N34"/>
    <mergeCell ref="M35:N39"/>
    <mergeCell ref="L34:L46"/>
    <mergeCell ref="P35:Q39"/>
    <mergeCell ref="B37:D37"/>
    <mergeCell ref="G37:G40"/>
    <mergeCell ref="B38:B43"/>
    <mergeCell ref="C38:C40"/>
    <mergeCell ref="C41:C42"/>
    <mergeCell ref="F41:G41"/>
    <mergeCell ref="F42:G42"/>
    <mergeCell ref="P34:Q34"/>
    <mergeCell ref="H44:I44"/>
    <mergeCell ref="H45:I45"/>
    <mergeCell ref="H46:I46"/>
    <mergeCell ref="M40:M45"/>
    <mergeCell ref="M46:N46"/>
    <mergeCell ref="P46:Q46"/>
    <mergeCell ref="B27:B36"/>
    <mergeCell ref="C27:C32"/>
    <mergeCell ref="C43:D43"/>
    <mergeCell ref="F43:I43"/>
    <mergeCell ref="L47:L50"/>
    <mergeCell ref="M47:M50"/>
    <mergeCell ref="C48:D48"/>
    <mergeCell ref="F48:G48"/>
    <mergeCell ref="C49:D49"/>
    <mergeCell ref="P31:Q31"/>
    <mergeCell ref="N32:N33"/>
    <mergeCell ref="Q32:Q33"/>
    <mergeCell ref="F49:I49"/>
    <mergeCell ref="C50:D50"/>
    <mergeCell ref="F50:G50"/>
    <mergeCell ref="C44:D44"/>
    <mergeCell ref="F44:G44"/>
    <mergeCell ref="C45:D45"/>
    <mergeCell ref="F45:G45"/>
    <mergeCell ref="C46:D46"/>
    <mergeCell ref="F46:G46"/>
    <mergeCell ref="C47:D47"/>
    <mergeCell ref="F47:G47"/>
    <mergeCell ref="H47:I47"/>
    <mergeCell ref="H48:I48"/>
    <mergeCell ref="H50:I50"/>
    <mergeCell ref="C51:D51"/>
    <mergeCell ref="F51:G51"/>
    <mergeCell ref="L51:L56"/>
    <mergeCell ref="M51:N51"/>
    <mergeCell ref="B52:D52"/>
    <mergeCell ref="F52:G52"/>
    <mergeCell ref="M52:M56"/>
    <mergeCell ref="B53:D53"/>
    <mergeCell ref="E53:I53"/>
    <mergeCell ref="B54:D54"/>
    <mergeCell ref="E54:I54"/>
    <mergeCell ref="B55:D55"/>
    <mergeCell ref="E55:I55"/>
    <mergeCell ref="B56:D57"/>
    <mergeCell ref="B44:B51"/>
    <mergeCell ref="H51:I51"/>
    <mergeCell ref="P60:Q60"/>
    <mergeCell ref="M61:N61"/>
    <mergeCell ref="P61:Q61"/>
    <mergeCell ref="F67:I67"/>
    <mergeCell ref="M69:N69"/>
    <mergeCell ref="F68:I68"/>
    <mergeCell ref="C69:D69"/>
    <mergeCell ref="F69:I69"/>
    <mergeCell ref="L57:L61"/>
    <mergeCell ref="M57:N57"/>
    <mergeCell ref="C60:D60"/>
    <mergeCell ref="P63:Q63"/>
    <mergeCell ref="F64:G64"/>
    <mergeCell ref="F65:G65"/>
    <mergeCell ref="P67:Q67"/>
    <mergeCell ref="F66:I66"/>
    <mergeCell ref="P68:Q68"/>
    <mergeCell ref="P62:Q62"/>
    <mergeCell ref="C63:C68"/>
    <mergeCell ref="F63:I63"/>
    <mergeCell ref="P57:Q57"/>
    <mergeCell ref="P59:Q59"/>
    <mergeCell ref="C59:D59"/>
    <mergeCell ref="G59:I59"/>
    <mergeCell ref="E74:G74"/>
    <mergeCell ref="B75:D75"/>
    <mergeCell ref="E75:G75"/>
    <mergeCell ref="B58:B72"/>
    <mergeCell ref="C58:D58"/>
    <mergeCell ref="F58:G58"/>
    <mergeCell ref="M58:N58"/>
    <mergeCell ref="M78:N78"/>
    <mergeCell ref="M59:N59"/>
    <mergeCell ref="G60:I60"/>
    <mergeCell ref="M60:N60"/>
    <mergeCell ref="C62:D62"/>
    <mergeCell ref="F62:I62"/>
    <mergeCell ref="C72:D72"/>
    <mergeCell ref="F72:G72"/>
    <mergeCell ref="C70:D70"/>
    <mergeCell ref="F70:I70"/>
    <mergeCell ref="C71:D71"/>
    <mergeCell ref="F71:I71"/>
    <mergeCell ref="L88:N88"/>
    <mergeCell ref="P88:Q89"/>
    <mergeCell ref="L89:N89"/>
    <mergeCell ref="M77:N77"/>
    <mergeCell ref="B74:D74"/>
    <mergeCell ref="H3:K3"/>
    <mergeCell ref="H4:K4"/>
    <mergeCell ref="M80:N80"/>
    <mergeCell ref="L81:L87"/>
    <mergeCell ref="M81:M83"/>
    <mergeCell ref="P58:Q58"/>
    <mergeCell ref="B77:D77"/>
    <mergeCell ref="C84:D84"/>
    <mergeCell ref="E84:G84"/>
    <mergeCell ref="M84:N84"/>
    <mergeCell ref="M85:N85"/>
    <mergeCell ref="M86:N86"/>
    <mergeCell ref="E77:G77"/>
    <mergeCell ref="B78:D78"/>
    <mergeCell ref="E78:G78"/>
    <mergeCell ref="B79:D79"/>
    <mergeCell ref="E79:G79"/>
    <mergeCell ref="M76:N76"/>
    <mergeCell ref="M87:N87"/>
  </mergeCells>
  <dataValidations count="40">
    <dataValidation type="whole" operator="greaterThanOrEqual" allowBlank="1" showInputMessage="1" showErrorMessage="1" sqref="O67:O68 E59:E62 O86:O87 O50 O31 O29:P30 O32:P33 E43 F56 O25:O28 N41:P45 O41:O47 O34:O39 O56:O65 O76:O84">
      <formula1>0</formula1>
    </dataValidation>
    <dataValidation type="list" allowBlank="1" showInputMessage="1" showErrorMessage="1" prompt="2018년 출생 자녀·입양자 수" sqref="F61">
      <formula1>$V$28:$V$37</formula1>
    </dataValidation>
    <dataValidation type="list" allowBlank="1" showInputMessage="1" showErrorMessage="1" promptTitle="감면율을 선택하세요" prompt="청년(15~34세)&#10;60세↑, 장애인, 경력단절여성&#10;14~15년 입사 : 50%&#10;16년 이후 입사 : 70%&#10;16년 이후 청년 : 90%&#10;※ 3년간(청년 5년) 감면&#10;&#10;'21.12.31일몰" sqref="F57">
      <formula1>$W$28:$W$31</formula1>
    </dataValidation>
    <dataValidation type="whole" allowBlank="1" showInputMessage="1" showErrorMessage="1" sqref="D9:P20">
      <formula1>-100000000</formula1>
      <formula2>100000000</formula2>
    </dataValidation>
    <dataValidation type="list" allowBlank="1" showInputMessage="1" showErrorMessage="1" promptTitle="공제해당 여부 선택" prompt="○ : 공제가능, X : 공제불가&#10; - 배우자 없고, 만20세&#10;   이하의 자녀를&#10;   부양가족공제&#10;   받는 근로자&#10; - 부녀자공제와&#10;   중복공제 불가" sqref="F36">
      <formula1>$U$28:$U$29</formula1>
    </dataValidation>
    <dataValidation allowBlank="1" showErrorMessage="1" promptTitle="공제율을 선택하세요." prompt="  기본 : 10%&#10;직접 조합을 통해 벤처에 투자한 경우&#10;   1500만원↓ : 100%&#10;   5천만원 ↓ : 50%&#10;   5천만원 ↑ : 30%" sqref="F47:G47"/>
    <dataValidation type="list" allowBlank="1" showInputMessage="1" showErrorMessage="1" promptTitle="배우자 공제" prompt="○ : 공제가능&#10;X : 공제불가" sqref="F28">
      <formula1>$U$28:$U$29</formula1>
    </dataValidation>
    <dataValidation type="list" allowBlank="1" showInputMessage="1" showErrorMessage="1" promptTitle="공제대상" prompt="만20세 이하&#10;’98.1.1 이후" sqref="F30">
      <formula1>$V$28:$V$37</formula1>
    </dataValidation>
    <dataValidation type="list" allowBlank="1" showInputMessage="1" showErrorMessage="1" promptTitle="공제대상" prompt="- 부모,장인,장모&#10;  시부모,조부모 &#10;- 만60세 이상&#10;  (’58.12.31 이전 출생)&#10;- 따로 살아도 공제가능" sqref="F29">
      <formula1>$V$28:$V$37</formula1>
    </dataValidation>
    <dataValidation type="list" allowBlank="1" showInputMessage="1" showErrorMessage="1" promptTitle="공제대상" prompt="동생, 처남, 처제포함&#10;동거자에 한함.&#10;60세 이상 (’58.12.31↓)&#10;20세 이하(’98.1.1 ↑)" sqref="F31">
      <formula1>$V$28:$V$37</formula1>
    </dataValidation>
    <dataValidation type="list" allowBlank="1" showInputMessage="1" showErrorMessage="1" promptTitle="공제대상" prompt="18세 미만&#10;’01.1.1 이후출생" sqref="F32">
      <formula1>$V$28:$V$37</formula1>
    </dataValidation>
    <dataValidation type="list" allowBlank="1" showInputMessage="1" showErrorMessage="1" promptTitle="공제요건" prompt="’48.12.31 이전 출생" sqref="F33">
      <formula1>$V$28:$V$37</formula1>
    </dataValidation>
    <dataValidation type="list" allowBlank="1" showInputMessage="1" showErrorMessage="1" promptTitle="공제요건" prompt="암, 중풍 등 중병환자도 장애인공제 가능" sqref="F34">
      <formula1>$V$28:$V$37</formula1>
    </dataValidation>
    <dataValidation type="list" allowBlank="1" showInputMessage="1" showErrorMessage="1" promptTitle="공제해당 여부 선택" prompt="○ : 공제가능, X : 공제불가&#10;  1.배우자 있는 여성(남편소득무관)&#10;      총급여 41,470,588↓&#10;      (근로소득금액이 3천↓)&#10;  2. 배우자가 없는 여성&#10;     부양가족이 있는 세대주" sqref="F35">
      <formula1>$U$28:$U$29</formula1>
    </dataValidation>
    <dataValidation allowBlank="1" showInputMessage="1" showErrorMessage="1" promptTitle="납부액을 모를 경우" prompt="총급여액 x 4.5%&#10;단 총급여 5,052만원&#10;이상시 5052x4.5%&#10;  = 2,273,400" sqref="H37"/>
    <dataValidation allowBlank="1" showInputMessage="1" showErrorMessage="1" promptTitle="납부액을 모를 경우" prompt="총급여 x 0.65%" sqref="H40"/>
    <dataValidation type="list" allowBlank="1" showInputMessage="1" showErrorMessage="1" prompt="폐지" sqref="F60">
      <formula1>$V$28:$V$37</formula1>
    </dataValidation>
    <dataValidation type="list" allowBlank="1" showInputMessage="1" showErrorMessage="1" promptTitle="공제요건" prompt="20세 이하&#10;(1998.1.1 이후 출생 자녀)&#10;2019년 과세분부터&#10;6세 이상조건 추가됨" sqref="F59">
      <formula1>$V$28:$V$37</formula1>
    </dataValidation>
    <dataValidation type="whole" operator="greaterThanOrEqual" allowBlank="1" showInputMessage="1" showErrorMessage="1" prompt="직전과세 5천이하 근로소득자&#10;자산총액40%이상 국내주식 투자&#10;하는 장기적립식펀드&#10;2015년 이후 납입분&#10;농어촌특별세 비과세" sqref="O69">
      <formula1>0</formula1>
    </dataValidation>
    <dataValidation type="whole" operator="greaterThanOrEqual" allowBlank="1" showErrorMessage="1" prompt="2016년 이후&#10;농어촌 특별세&#10;비과세로 전환" sqref="O66">
      <formula1>0</formula1>
    </dataValidation>
    <dataValidation type="whole" operator="greaterThanOrEqual" allowBlank="1" showInputMessage="1" showErrorMessage="1" prompt="'95.11.1~'97.12.31 기간중&#10;미분양 주택 취득&#10;국민주택기금등으로 차입한&#10;대출금 이자상환액&#10;농어촌특별세 과세 대상" sqref="O85">
      <formula1>0</formula1>
    </dataValidation>
    <dataValidation type="whole" operator="greaterThanOrEqual" allowBlank="1" showInputMessage="1" showErrorMessage="1" prompt="총급여 5000만원이하&#10;국민주택규모의 주택&#10;(오피스텔포함)&#10;대부업을 경영하지 않는 개인으로&#10;년 2.5%이하 이율로 차입한&#10;원리금 상환액" sqref="O51">
      <formula1>0</formula1>
    </dataValidation>
    <dataValidation type="list" operator="greaterThanOrEqual" allowBlank="1" showInputMessage="1" showErrorMessage="1" prompt="14년 이후 차입금&#10;국민주택규모 기준 삭제됨." sqref="O52">
      <formula1>$U$43:$U$46</formula1>
    </dataValidation>
    <dataValidation type="list" operator="greaterThanOrEqual" allowBlank="1" showInputMessage="1" showErrorMessage="1" sqref="O53">
      <formula1>$V$43:$V$45</formula1>
    </dataValidation>
    <dataValidation type="list" operator="greaterThanOrEqual" allowBlank="1" showInputMessage="1" showErrorMessage="1" sqref="O54">
      <formula1>$W$43:$W$44</formula1>
    </dataValidation>
    <dataValidation type="list" operator="greaterThanOrEqual" allowBlank="1" showInputMessage="1" showErrorMessage="1" sqref="O55">
      <formula1>$X$43:$X$44</formula1>
    </dataValidation>
    <dataValidation type="whole" operator="greaterThanOrEqual" allowBlank="1" showInputMessage="1" showErrorMessage="1" prompt="14년이전 가입자중&#10;총급여 7천만원&#10;초과자는 공제 불가" sqref="O48">
      <formula1>0</formula1>
    </dataValidation>
    <dataValidation type="whole" operator="greaterThanOrEqual" allowBlank="1" showInputMessage="1" showErrorMessage="1" prompt="총급여 7천만원&#10;이하자만 공제 가능" sqref="O49">
      <formula1>0</formula1>
    </dataValidation>
    <dataValidation operator="greaterThanOrEqual" allowBlank="1" showInputMessage="1" showErrorMessage="1" prompt="인당 50만원한도" sqref="O40"/>
    <dataValidation type="list" allowBlank="1" showInputMessage="1" showErrorMessage="1" prompt="출생,입양 대상자중&#10;첫번째 아이" sqref="H61">
      <formula1>$X$28:$X$31</formula1>
    </dataValidation>
    <dataValidation allowBlank="1" showInputMessage="1" showErrorMessage="1" prompt="교육비,급식비&#10;교과서&#10;방과후학교&#10;국외교육비" sqref="N40"/>
    <dataValidation allowBlank="1" showInputMessage="1" showErrorMessage="1" prompt="학교에서 실시하는&#10;수련활동,수학여행등&#10;인당 30만원" sqref="P40"/>
    <dataValidation allowBlank="1" showInputMessage="1" showErrorMessage="1" prompt="총급여 1억2천&#10;종합소득 1억초과자&#10;한도액 300만원" sqref="Q82"/>
    <dataValidation allowBlank="1" showInputMessage="1" showErrorMessage="1" prompt="전통시장 대중교통&#10;공제율 상향" sqref="Q78:Q79"/>
    <dataValidation allowBlank="1" showInputMessage="1" showErrorMessage="1" prompt="(300만원, 총급여의 20%)&#10;총급여 7천초과자 250만원&#10;총급여 1.2억초과자 200만원" sqref="Q70"/>
    <dataValidation allowBlank="1" showInputMessage="1" showErrorMessage="1" prompt="총급여&#10;4000만원이하 : 500만원&#10;4000~1억 : 300만원&#10;1억 초과 : 200만원" sqref="P63:Q63"/>
    <dataValidation allowBlank="1" showErrorMessage="1" prompt="총급여&#10;4000만원이하 : 500만원&#10;4000~1억 : 300만원&#10;1억 초과 : 200만원" sqref="P65 P64:Q64"/>
    <dataValidation allowBlank="1" showErrorMessage="1" prompt="벤처기업투자신탁의&#10;수익증권에 투자하는 경우&#10;공제금액 300만원" sqref="Q65:Q66"/>
    <dataValidation allowBlank="1" showInputMessage="1" showErrorMessage="1" promptTitle="납부액을 모를경우" prompt="총급여×3.120%" sqref="H38:I38"/>
    <dataValidation allowBlank="1" showInputMessage="1" showErrorMessage="1" promptTitle="납부액을 모를 경우" prompt="총급여×6.24%×7.38%×50%" sqref="H39:I39"/>
  </dataValidations>
  <printOptions horizontalCentered="1"/>
  <pageMargins left="0.31496062992125984" right="0.3937007874015748" top="0.5511811023622047" bottom="0.984251968503937" header="0.1968503937007874" footer="0.5118110236220472"/>
  <pageSetup fitToHeight="1" fitToWidth="1" horizontalDpi="300" verticalDpi="3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Ryu, B.Y</dc:creator>
  <cp:keywords/>
  <dc:description/>
  <cp:lastModifiedBy>류부열</cp:lastModifiedBy>
  <cp:lastPrinted>2011-08-24T04:19:00Z</cp:lastPrinted>
  <dcterms:created xsi:type="dcterms:W3CDTF">2004-12-16T12:22:56Z</dcterms:created>
  <dcterms:modified xsi:type="dcterms:W3CDTF">2019-01-16T09:45:04Z</dcterms:modified>
  <cp:category/>
  <cp:version/>
  <cp:contentType/>
  <cp:contentStatus/>
</cp:coreProperties>
</file>