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문서\부열폴더\회사업무\"/>
    </mc:Choice>
  </mc:AlternateContent>
  <bookViews>
    <workbookView xWindow="360" yWindow="240" windowWidth="15360" windowHeight="11790" tabRatio="656"/>
  </bookViews>
  <sheets>
    <sheet name="2017년" sheetId="44" r:id="rId1"/>
  </sheets>
  <calcPr calcId="171027"/>
</workbook>
</file>

<file path=xl/calcChain.xml><?xml version="1.0" encoding="utf-8"?>
<calcChain xmlns="http://schemas.openxmlformats.org/spreadsheetml/2006/main">
  <c r="P68" i="44" l="1"/>
  <c r="N76" i="44"/>
  <c r="N75" i="44"/>
  <c r="N74" i="44"/>
  <c r="N73" i="44"/>
  <c r="E49" i="44"/>
  <c r="E61" i="44" l="1"/>
  <c r="E65" i="44" l="1"/>
  <c r="T57" i="44"/>
  <c r="F39" i="44" l="1"/>
  <c r="O76" i="44" l="1"/>
  <c r="O73" i="44"/>
  <c r="O75" i="44"/>
  <c r="O74" i="44"/>
  <c r="E70" i="44"/>
  <c r="E79" i="44" s="1"/>
  <c r="E69" i="44"/>
  <c r="E66" i="44"/>
  <c r="E63" i="44"/>
  <c r="E60" i="44"/>
  <c r="E59" i="44"/>
  <c r="O56" i="44"/>
  <c r="O55" i="44"/>
  <c r="O54" i="44"/>
  <c r="O53" i="44"/>
  <c r="H51" i="44"/>
  <c r="E51" i="44"/>
  <c r="H50" i="44"/>
  <c r="E50" i="44"/>
  <c r="H46" i="44"/>
  <c r="H44" i="44"/>
  <c r="E44" i="44" s="1"/>
  <c r="H41" i="44"/>
  <c r="E36" i="44"/>
  <c r="E35" i="44" s="1"/>
  <c r="E34" i="44"/>
  <c r="E33" i="44"/>
  <c r="E32" i="44"/>
  <c r="E31" i="44"/>
  <c r="E30" i="44"/>
  <c r="E29" i="44"/>
  <c r="E28" i="44"/>
  <c r="E27" i="44"/>
  <c r="O21" i="44"/>
  <c r="M21" i="44"/>
  <c r="L21" i="44"/>
  <c r="K21" i="44"/>
  <c r="H21" i="44"/>
  <c r="G21" i="44"/>
  <c r="F21" i="44"/>
  <c r="E21" i="44"/>
  <c r="P20" i="44"/>
  <c r="P19" i="44"/>
  <c r="P18" i="44"/>
  <c r="I21" i="44"/>
  <c r="N84" i="44" s="1"/>
  <c r="J21" i="44"/>
  <c r="N85" i="44" s="1"/>
  <c r="P15" i="44"/>
  <c r="P14" i="44"/>
  <c r="P13" i="44"/>
  <c r="P12" i="44"/>
  <c r="P11" i="44"/>
  <c r="P10" i="44"/>
  <c r="N21" i="44"/>
  <c r="P53" i="44" l="1"/>
  <c r="P9" i="44"/>
  <c r="P17" i="44"/>
  <c r="P16" i="44" l="1"/>
  <c r="P21" i="44" s="1"/>
  <c r="D21" i="44"/>
  <c r="E24" i="44" l="1"/>
  <c r="O63" i="44" l="1"/>
  <c r="P78" i="44"/>
  <c r="P79" i="44" s="1"/>
  <c r="E62" i="44" s="1"/>
  <c r="E25" i="44"/>
  <c r="E26" i="44" s="1"/>
  <c r="P64" i="44" s="1"/>
  <c r="E47" i="44" s="1"/>
  <c r="P27" i="44"/>
  <c r="E64" i="44" s="1"/>
  <c r="O49" i="44"/>
  <c r="P50" i="44" s="1"/>
  <c r="E46" i="44" s="1"/>
  <c r="E41" i="44" s="1"/>
  <c r="N68" i="44"/>
  <c r="H38" i="44"/>
  <c r="E38" i="44" s="1"/>
  <c r="H37" i="44"/>
  <c r="E37" i="44" s="1"/>
  <c r="H58" i="44"/>
  <c r="H39" i="44"/>
  <c r="E39" i="44" s="1"/>
  <c r="E72" i="44"/>
  <c r="H40" i="44"/>
  <c r="E40" i="44" s="1"/>
  <c r="P70" i="44" l="1"/>
  <c r="P72" i="44" s="1"/>
  <c r="H48" i="44" s="1"/>
  <c r="E48" i="44" s="1"/>
  <c r="E45" i="44"/>
  <c r="H45" i="44"/>
  <c r="O58" i="44"/>
  <c r="O57" i="44"/>
  <c r="O59" i="44" s="1"/>
  <c r="H42" i="44"/>
  <c r="E42" i="44" s="1"/>
  <c r="E52" i="44" l="1"/>
  <c r="E53" i="44" s="1"/>
  <c r="E54" i="44" s="1"/>
  <c r="O61" i="44"/>
  <c r="O60" i="44"/>
  <c r="E55" i="44" l="1"/>
  <c r="H57" i="44" s="1"/>
  <c r="E67" i="44"/>
  <c r="E68" i="44" s="1"/>
  <c r="E71" i="44" l="1"/>
  <c r="E58" i="44"/>
  <c r="E74" i="44" l="1"/>
  <c r="E77" i="44" s="1"/>
  <c r="E75" i="44" l="1"/>
  <c r="E78" i="44" s="1"/>
  <c r="H77" i="44" s="1"/>
  <c r="H74" i="44" l="1"/>
</calcChain>
</file>

<file path=xl/comments1.xml><?xml version="1.0" encoding="utf-8"?>
<comments xmlns="http://schemas.openxmlformats.org/spreadsheetml/2006/main">
  <authors>
    <author>Windows 사용자</author>
  </authors>
  <commentList>
    <comment ref="H8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특허보상비등
</t>
        </r>
        <r>
          <rPr>
            <b/>
            <sz val="9"/>
            <color indexed="81"/>
            <rFont val="돋움"/>
            <family val="3"/>
            <charset val="129"/>
          </rPr>
          <t>명세서에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있으나
비과세인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소득</t>
        </r>
      </text>
    </comment>
  </commentList>
</comments>
</file>

<file path=xl/sharedStrings.xml><?xml version="1.0" encoding="utf-8"?>
<sst xmlns="http://schemas.openxmlformats.org/spreadsheetml/2006/main" count="269" uniqueCount="263">
  <si>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</si>
  <si>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</si>
  <si>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</si>
  <si>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</si>
  <si>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</si>
  <si>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</si>
  <si>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</si>
  <si>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</si>
  <si>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</si>
  <si>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</si>
  <si>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총 급 여</t>
    <phoneticPr fontId="2" type="noConversion"/>
  </si>
  <si>
    <t>공제 기초 자료 내역</t>
    <phoneticPr fontId="2" type="noConversion"/>
  </si>
  <si>
    <t>사용액</t>
    <phoneticPr fontId="2" type="noConversion"/>
  </si>
  <si>
    <t>한도액</t>
    <phoneticPr fontId="2" type="noConversion"/>
  </si>
  <si>
    <t>기
본
공
제</t>
    <phoneticPr fontId="2" type="noConversion"/>
  </si>
  <si>
    <t>본    인</t>
    <phoneticPr fontId="2" type="noConversion"/>
  </si>
  <si>
    <t>기납부 소득세 총액</t>
    <phoneticPr fontId="2" type="noConversion"/>
  </si>
  <si>
    <t>기납부 주민세 총액</t>
    <phoneticPr fontId="2" type="noConversion"/>
  </si>
  <si>
    <t>종합소득 과세표준</t>
    <phoneticPr fontId="2" type="noConversion"/>
  </si>
  <si>
    <t>근로 소득 산출세액</t>
    <phoneticPr fontId="2" type="noConversion"/>
  </si>
  <si>
    <t>법인명</t>
    <phoneticPr fontId="2" type="noConversion"/>
  </si>
  <si>
    <t>사업자 등록번호</t>
    <phoneticPr fontId="2" type="noConversion"/>
  </si>
  <si>
    <t>소 재 지</t>
    <phoneticPr fontId="2" type="noConversion"/>
  </si>
  <si>
    <t>소득자</t>
    <phoneticPr fontId="2" type="noConversion"/>
  </si>
  <si>
    <t>법인 등록번호</t>
    <phoneticPr fontId="2" type="noConversion"/>
  </si>
  <si>
    <t>귀속년도</t>
    <phoneticPr fontId="2" type="noConversion"/>
  </si>
  <si>
    <t>고용보험료</t>
    <phoneticPr fontId="2" type="noConversion"/>
  </si>
  <si>
    <t>2월</t>
    <phoneticPr fontId="2" type="noConversion"/>
  </si>
  <si>
    <t>근로 소득 금액</t>
    <phoneticPr fontId="2" type="noConversion"/>
  </si>
  <si>
    <t>근로 소득 공제액</t>
    <phoneticPr fontId="2" type="noConversion"/>
  </si>
  <si>
    <t>전통시장사용분 (신용,직불,현금)</t>
    <phoneticPr fontId="2" type="noConversion"/>
  </si>
  <si>
    <t>대중교통사용분 (신용,직불,현금)</t>
    <phoneticPr fontId="2" type="noConversion"/>
  </si>
  <si>
    <t>일반 보장성</t>
    <phoneticPr fontId="2" type="noConversion"/>
  </si>
  <si>
    <t>장애인 전용 보장성</t>
    <phoneticPr fontId="2" type="noConversion"/>
  </si>
  <si>
    <t>전액</t>
    <phoneticPr fontId="2" type="noConversion"/>
  </si>
  <si>
    <t>불입액의 40%</t>
    <phoneticPr fontId="2" type="noConversion"/>
  </si>
  <si>
    <t>공제액</t>
    <phoneticPr fontId="2" type="noConversion"/>
  </si>
  <si>
    <t>소기업,소상공인공제부금</t>
  </si>
  <si>
    <t>개인연금저축 납입액 (2000년 이전)</t>
  </si>
  <si>
    <t>고용유지중소기업 근로자의 임금삭감액</t>
  </si>
  <si>
    <t>우리사주조합 소득공제</t>
  </si>
  <si>
    <t>결정 주민세</t>
    <phoneticPr fontId="2" type="noConversion"/>
  </si>
  <si>
    <t>세액공제</t>
    <phoneticPr fontId="2" type="noConversion"/>
  </si>
  <si>
    <t>인적공제</t>
    <phoneticPr fontId="2" type="noConversion"/>
  </si>
  <si>
    <t>만 20세↓, 60세↑</t>
    <phoneticPr fontId="2" type="noConversion"/>
  </si>
  <si>
    <t>추
가
공
제</t>
    <phoneticPr fontId="2" type="noConversion"/>
  </si>
  <si>
    <t>주택</t>
    <phoneticPr fontId="2" type="noConversion"/>
  </si>
  <si>
    <t>주택임차 차입금</t>
    <phoneticPr fontId="2" type="noConversion"/>
  </si>
  <si>
    <t>주택마련저축+임차 차입금 한도</t>
    <phoneticPr fontId="2" type="noConversion"/>
  </si>
  <si>
    <t>대표자의 노란우산 공제 불입액</t>
    <phoneticPr fontId="2" type="noConversion"/>
  </si>
  <si>
    <t>주택자금
소득공제</t>
    <phoneticPr fontId="2" type="noConversion"/>
  </si>
  <si>
    <t>1. 주택임차 차입금 원리금상환액 (상환액의 40%)</t>
    <phoneticPr fontId="2" type="noConversion"/>
  </si>
  <si>
    <t>2.장기주택 이자상환액
  ~14년 : 3억↓, 85㎡ ↓
  14년~ : 4억↓
※ 임차차입금과
    중복 공제 불가</t>
    <phoneticPr fontId="2" type="noConversion"/>
  </si>
  <si>
    <t>통합한도</t>
    <phoneticPr fontId="2" type="noConversion"/>
  </si>
  <si>
    <t>1. 정치자금기부금</t>
    <phoneticPr fontId="2" type="noConversion"/>
  </si>
  <si>
    <t>소득공제 종합한도</t>
    <phoneticPr fontId="2" type="noConversion"/>
  </si>
  <si>
    <t>보험료,고용유지,전세 제외</t>
    <phoneticPr fontId="2" type="noConversion"/>
  </si>
  <si>
    <t>감면율</t>
    <phoneticPr fontId="2" type="noConversion"/>
  </si>
  <si>
    <t>연금계좌세액공제</t>
    <phoneticPr fontId="2" type="noConversion"/>
  </si>
  <si>
    <t>납세조합공제</t>
    <phoneticPr fontId="2" type="noConversion"/>
  </si>
  <si>
    <t>퇴직연금</t>
    <phoneticPr fontId="2" type="noConversion"/>
  </si>
  <si>
    <t>과학기술인공제</t>
    <phoneticPr fontId="2" type="noConversion"/>
  </si>
  <si>
    <t>원천징수 세액의</t>
    <phoneticPr fontId="2" type="noConversion"/>
  </si>
  <si>
    <t>주택 차입금이자 상환액 세액공제</t>
    <phoneticPr fontId="2" type="noConversion"/>
  </si>
  <si>
    <t>이자상환액의</t>
    <phoneticPr fontId="2" type="noConversion"/>
  </si>
  <si>
    <t>외국 납부 세액</t>
    <phoneticPr fontId="2" type="noConversion"/>
  </si>
  <si>
    <t>국외 근로소득</t>
    <phoneticPr fontId="2" type="noConversion"/>
  </si>
  <si>
    <t>확정일자 불요</t>
    <phoneticPr fontId="2" type="noConversion"/>
  </si>
  <si>
    <t>감면대상 소득</t>
    <phoneticPr fontId="2" type="noConversion"/>
  </si>
  <si>
    <t>감면세액</t>
    <phoneticPr fontId="2" type="noConversion"/>
  </si>
  <si>
    <t>추가한도액</t>
    <phoneticPr fontId="2" type="noConversion"/>
  </si>
  <si>
    <t>기본한도액</t>
    <phoneticPr fontId="2" type="noConversion"/>
  </si>
  <si>
    <t>공제한도액</t>
    <phoneticPr fontId="2" type="noConversion"/>
  </si>
  <si>
    <t>~2011년</t>
    <phoneticPr fontId="2" type="noConversion"/>
  </si>
  <si>
    <t>15년이상</t>
    <phoneticPr fontId="2" type="noConversion"/>
  </si>
  <si>
    <t>변동금리</t>
    <phoneticPr fontId="2" type="noConversion"/>
  </si>
  <si>
    <t>거치식</t>
    <phoneticPr fontId="2" type="noConversion"/>
  </si>
  <si>
    <t>대출시작년도</t>
    <phoneticPr fontId="2" type="noConversion"/>
  </si>
  <si>
    <t>이자상환액 한도</t>
    <phoneticPr fontId="2" type="noConversion"/>
  </si>
  <si>
    <t>대출기간</t>
    <phoneticPr fontId="2" type="noConversion"/>
  </si>
  <si>
    <t>금리</t>
    <phoneticPr fontId="2" type="noConversion"/>
  </si>
  <si>
    <t>거치여부</t>
    <phoneticPr fontId="2" type="noConversion"/>
  </si>
  <si>
    <t>이자상환액</t>
    <phoneticPr fontId="2" type="noConversion"/>
  </si>
  <si>
    <t>해당없음</t>
  </si>
  <si>
    <r>
      <rPr>
        <b/>
        <sz val="10"/>
        <rFont val="나눔고딕"/>
        <family val="3"/>
        <charset val="129"/>
      </rPr>
      <t>보장성보험료 납입액</t>
    </r>
    <r>
      <rPr>
        <sz val="10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>(소득, 나이요건 있음)</t>
    </r>
    <phoneticPr fontId="2" type="noConversion"/>
  </si>
  <si>
    <t>한도(16년이후)</t>
    <phoneticPr fontId="2" type="noConversion"/>
  </si>
  <si>
    <r>
      <rPr>
        <b/>
        <sz val="10"/>
        <rFont val="나눔고딕"/>
        <family val="3"/>
        <charset val="129"/>
      </rPr>
      <t>기 부 금
공    제</t>
    </r>
    <r>
      <rPr>
        <sz val="10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>나이요건 없음
소득요건 있음</t>
    </r>
    <phoneticPr fontId="2" type="noConversion"/>
  </si>
  <si>
    <t>월</t>
    <phoneticPr fontId="2" type="noConversion"/>
  </si>
  <si>
    <t>급여</t>
    <phoneticPr fontId="2" type="noConversion"/>
  </si>
  <si>
    <t>정기상여</t>
    <phoneticPr fontId="2" type="noConversion"/>
  </si>
  <si>
    <t>상여금</t>
    <phoneticPr fontId="2" type="noConversion"/>
  </si>
  <si>
    <t>기타급여</t>
    <phoneticPr fontId="2" type="noConversion"/>
  </si>
  <si>
    <t>비과세소득</t>
    <phoneticPr fontId="2" type="noConversion"/>
  </si>
  <si>
    <t>소득세</t>
    <phoneticPr fontId="2" type="noConversion"/>
  </si>
  <si>
    <t>주민세</t>
    <phoneticPr fontId="2" type="noConversion"/>
  </si>
  <si>
    <t>국민건강보험</t>
    <phoneticPr fontId="2" type="noConversion"/>
  </si>
  <si>
    <t>노인장기요양보험</t>
    <phoneticPr fontId="2" type="noConversion"/>
  </si>
  <si>
    <t>국민연금</t>
    <phoneticPr fontId="2" type="noConversion"/>
  </si>
  <si>
    <t>고용보험료</t>
    <phoneticPr fontId="2" type="noConversion"/>
  </si>
  <si>
    <t>기타공제</t>
    <phoneticPr fontId="2" type="noConversion"/>
  </si>
  <si>
    <t>차인지급액</t>
    <phoneticPr fontId="2" type="noConversion"/>
  </si>
  <si>
    <t>1월</t>
    <phoneticPr fontId="2" type="noConversion"/>
  </si>
  <si>
    <t>합계</t>
    <phoneticPr fontId="2" type="noConversion"/>
  </si>
  <si>
    <t>○</t>
    <phoneticPr fontId="2" type="noConversion"/>
  </si>
  <si>
    <t>- 근로소득자
   연봉 500만원 이하
- 사업소득자
   수입금액-필요경비
   100만원이하</t>
    <phoneticPr fontId="2" type="noConversion"/>
  </si>
  <si>
    <t>의료비</t>
    <phoneticPr fontId="2" type="noConversion"/>
  </si>
  <si>
    <t>1. 본인,65세이상</t>
    <phoneticPr fontId="2" type="noConversion"/>
  </si>
  <si>
    <t>목록1</t>
    <phoneticPr fontId="2" type="noConversion"/>
  </si>
  <si>
    <t>목록2</t>
    <phoneticPr fontId="2" type="noConversion"/>
  </si>
  <si>
    <t>목록3</t>
    <phoneticPr fontId="2" type="noConversion"/>
  </si>
  <si>
    <t>배 우 자</t>
    <phoneticPr fontId="2" type="noConversion"/>
  </si>
  <si>
    <t>배우자 공제</t>
    <phoneticPr fontId="2" type="noConversion"/>
  </si>
  <si>
    <t>안경비등</t>
    <phoneticPr fontId="2" type="noConversion"/>
  </si>
  <si>
    <t>o</t>
    <phoneticPr fontId="2" type="noConversion"/>
  </si>
  <si>
    <t>직계존속</t>
    <phoneticPr fontId="2" type="noConversion"/>
  </si>
  <si>
    <t>남,여:60세 이상</t>
    <phoneticPr fontId="2" type="noConversion"/>
  </si>
  <si>
    <t xml:space="preserve">   안경비등은 인당 입력</t>
    <phoneticPr fontId="2" type="noConversion"/>
  </si>
  <si>
    <t>x</t>
    <phoneticPr fontId="2" type="noConversion"/>
  </si>
  <si>
    <t>직계비속</t>
    <phoneticPr fontId="2" type="noConversion"/>
  </si>
  <si>
    <t>만 20세이하</t>
    <phoneticPr fontId="2" type="noConversion"/>
  </si>
  <si>
    <t>2. 1을 제외한 공제자</t>
    <phoneticPr fontId="2" type="noConversion"/>
  </si>
  <si>
    <t>형제자매</t>
    <phoneticPr fontId="2" type="noConversion"/>
  </si>
  <si>
    <t xml:space="preserve">  (소득, 나이요건 없음)</t>
    <phoneticPr fontId="2" type="noConversion"/>
  </si>
  <si>
    <t>위탁아동</t>
    <phoneticPr fontId="2" type="noConversion"/>
  </si>
  <si>
    <t>6개월↑ 위탁</t>
    <phoneticPr fontId="2" type="noConversion"/>
  </si>
  <si>
    <t>경로우대</t>
    <phoneticPr fontId="2" type="noConversion"/>
  </si>
  <si>
    <t>70세이상</t>
    <phoneticPr fontId="2" type="noConversion"/>
  </si>
  <si>
    <r>
      <rPr>
        <b/>
        <sz val="10"/>
        <rFont val="나눔고딕"/>
        <family val="3"/>
        <charset val="129"/>
      </rPr>
      <t>교 육 비
지출내역</t>
    </r>
    <r>
      <rPr>
        <sz val="10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>나이요건 없음
소득요건 있음</t>
    </r>
    <phoneticPr fontId="2" type="noConversion"/>
  </si>
  <si>
    <t>장 애 인</t>
    <phoneticPr fontId="2" type="noConversion"/>
  </si>
  <si>
    <t>연령 제한없음</t>
    <phoneticPr fontId="2" type="noConversion"/>
  </si>
  <si>
    <t>부 녀 자</t>
    <phoneticPr fontId="2" type="noConversion"/>
  </si>
  <si>
    <t>총급여:41,470,588↓</t>
    <phoneticPr fontId="2" type="noConversion"/>
  </si>
  <si>
    <t>한부모 공제</t>
    <phoneticPr fontId="2" type="noConversion"/>
  </si>
  <si>
    <t>배우자 無, 직계비속, 입양자 有, 100만원</t>
    <phoneticPr fontId="2" type="noConversion"/>
  </si>
  <si>
    <t>연금 보험료 공제</t>
    <phoneticPr fontId="2" type="noConversion"/>
  </si>
  <si>
    <t>예상납부액</t>
    <phoneticPr fontId="2" type="noConversion"/>
  </si>
  <si>
    <t>특별공제</t>
    <phoneticPr fontId="2" type="noConversion"/>
  </si>
  <si>
    <t>보험료</t>
    <phoneticPr fontId="2" type="noConversion"/>
  </si>
  <si>
    <t>건강보험료</t>
    <phoneticPr fontId="2" type="noConversion"/>
  </si>
  <si>
    <t>장기요양보험료</t>
    <phoneticPr fontId="2" type="noConversion"/>
  </si>
  <si>
    <t>장기주택 이자</t>
    <phoneticPr fontId="2" type="noConversion"/>
  </si>
  <si>
    <t>한도 (계산식 참조)</t>
    <phoneticPr fontId="2" type="noConversion"/>
  </si>
  <si>
    <t>목록5</t>
    <phoneticPr fontId="2" type="noConversion"/>
  </si>
  <si>
    <t>목록6</t>
    <phoneticPr fontId="2" type="noConversion"/>
  </si>
  <si>
    <t>목록7</t>
    <phoneticPr fontId="2" type="noConversion"/>
  </si>
  <si>
    <t>목록8</t>
    <phoneticPr fontId="2" type="noConversion"/>
  </si>
  <si>
    <t>기부금(이월분)</t>
    <phoneticPr fontId="2" type="noConversion"/>
  </si>
  <si>
    <t>기부금 이월분 (2014년도 이전), 이후분은 세액 공제대상임</t>
    <phoneticPr fontId="2" type="noConversion"/>
  </si>
  <si>
    <t>2003년 이전</t>
    <phoneticPr fontId="2" type="noConversion"/>
  </si>
  <si>
    <t>10년이상</t>
    <phoneticPr fontId="2" type="noConversion"/>
  </si>
  <si>
    <t>고정금리</t>
    <phoneticPr fontId="2" type="noConversion"/>
  </si>
  <si>
    <t>비거치식</t>
    <phoneticPr fontId="2" type="noConversion"/>
  </si>
  <si>
    <t>그 밖의 소득공제</t>
    <phoneticPr fontId="2" type="noConversion"/>
  </si>
  <si>
    <t>개인연금저축공제</t>
    <phoneticPr fontId="2" type="noConversion"/>
  </si>
  <si>
    <t>소기업,소상공인공제</t>
    <phoneticPr fontId="2" type="noConversion"/>
  </si>
  <si>
    <t>2012~2014년</t>
    <phoneticPr fontId="2" type="noConversion"/>
  </si>
  <si>
    <t>30년이상</t>
    <phoneticPr fontId="2" type="noConversion"/>
  </si>
  <si>
    <t>주택마련저축 공제</t>
    <phoneticPr fontId="2" type="noConversion"/>
  </si>
  <si>
    <t>주택마련저축 불입액의 40%</t>
    <phoneticPr fontId="2" type="noConversion"/>
  </si>
  <si>
    <t>장애인 특수교육비</t>
    <phoneticPr fontId="2" type="noConversion"/>
  </si>
  <si>
    <t>2015년~</t>
    <phoneticPr fontId="2" type="noConversion"/>
  </si>
  <si>
    <t>투자조합출자등</t>
    <phoneticPr fontId="2" type="noConversion"/>
  </si>
  <si>
    <t>개인 투자금의 30%,50%,100%</t>
    <phoneticPr fontId="2" type="noConversion"/>
  </si>
  <si>
    <t>근로소득의 50%</t>
    <phoneticPr fontId="2" type="noConversion"/>
  </si>
  <si>
    <t>주택마련
저축공제</t>
    <phoneticPr fontId="2" type="noConversion"/>
  </si>
  <si>
    <t>주택마련저축
2015년 신규 의 경우
총급여 7000만원 이하</t>
    <phoneticPr fontId="2" type="noConversion"/>
  </si>
  <si>
    <t>청약저축</t>
    <phoneticPr fontId="2" type="noConversion"/>
  </si>
  <si>
    <t>저축+임차 한도</t>
    <phoneticPr fontId="2" type="noConversion"/>
  </si>
  <si>
    <t>신용카드등</t>
    <phoneticPr fontId="2" type="noConversion"/>
  </si>
  <si>
    <t>상세참조</t>
    <phoneticPr fontId="2" type="noConversion"/>
  </si>
  <si>
    <t>청약종합저축(14년이전)</t>
    <phoneticPr fontId="2" type="noConversion"/>
  </si>
  <si>
    <t>목록9</t>
    <phoneticPr fontId="2" type="noConversion"/>
  </si>
  <si>
    <t>우리사주조합공제</t>
    <phoneticPr fontId="2" type="noConversion"/>
  </si>
  <si>
    <t>우리사주조합원이 우리사주 취득을 위해 출연한 금액</t>
    <phoneticPr fontId="2" type="noConversion"/>
  </si>
  <si>
    <t>청약종합저축(15년신규)</t>
    <phoneticPr fontId="2" type="noConversion"/>
  </si>
  <si>
    <t>주택 마련 저축</t>
    <phoneticPr fontId="2" type="noConversion"/>
  </si>
  <si>
    <t>해당없음</t>
    <phoneticPr fontId="2" type="noConversion"/>
  </si>
  <si>
    <t>고용유지중소기업 근로자</t>
    <phoneticPr fontId="2" type="noConversion"/>
  </si>
  <si>
    <t>임금삭감액(전년-올해임금)의 50%</t>
    <phoneticPr fontId="2" type="noConversion"/>
  </si>
  <si>
    <t>근로자주택마련저축</t>
    <phoneticPr fontId="2" type="noConversion"/>
  </si>
  <si>
    <t>14년 이후 투자</t>
    <phoneticPr fontId="2" type="noConversion"/>
  </si>
  <si>
    <t>장기집합투자증권</t>
    <phoneticPr fontId="2" type="noConversion"/>
  </si>
  <si>
    <t>저축납입액의 40%</t>
    <phoneticPr fontId="2" type="noConversion"/>
  </si>
  <si>
    <t>세
액
공
제</t>
    <phoneticPr fontId="2" type="noConversion"/>
  </si>
  <si>
    <t>근로 소득 세액 공제</t>
    <phoneticPr fontId="2" type="noConversion"/>
  </si>
  <si>
    <t>한도액(계산식 참조)</t>
    <phoneticPr fontId="2" type="noConversion"/>
  </si>
  <si>
    <t>2. 법정기부금 (국가,학교,성금)</t>
    <phoneticPr fontId="2" type="noConversion"/>
  </si>
  <si>
    <t>자녀세액공제</t>
    <phoneticPr fontId="2" type="noConversion"/>
  </si>
  <si>
    <t>3. 우리사주조합 기부금</t>
    <phoneticPr fontId="2" type="noConversion"/>
  </si>
  <si>
    <t>6세이하자녀공제</t>
    <phoneticPr fontId="2" type="noConversion"/>
  </si>
  <si>
    <t>2자녀부터 1명당 15만원</t>
    <phoneticPr fontId="2" type="noConversion"/>
  </si>
  <si>
    <t>4. 지정기부금 (종교단체 제외, 노조비)</t>
    <phoneticPr fontId="2" type="noConversion"/>
  </si>
  <si>
    <t>출산,입양 공제</t>
    <phoneticPr fontId="2" type="noConversion"/>
  </si>
  <si>
    <t>5. 지정기부금 (종교단체)</t>
    <phoneticPr fontId="2" type="noConversion"/>
  </si>
  <si>
    <t>연금계좌세액공제</t>
    <phoneticPr fontId="2" type="noConversion"/>
  </si>
  <si>
    <t>공제율 : 총소득 5500만원 이하 15%, 초과 12%</t>
    <phoneticPr fontId="2" type="noConversion"/>
  </si>
  <si>
    <t>그밖의
소득공제</t>
    <phoneticPr fontId="2" type="noConversion"/>
  </si>
  <si>
    <t>특
별
세
액
공
제</t>
    <phoneticPr fontId="2" type="noConversion"/>
  </si>
  <si>
    <t>보장성보험</t>
    <phoneticPr fontId="2" type="noConversion"/>
  </si>
  <si>
    <t>공제대상 금액의 12% (단 장애인 보장성 보험은 15%)</t>
    <phoneticPr fontId="2" type="noConversion"/>
  </si>
  <si>
    <t>의료비 공제대상 금액의</t>
    <phoneticPr fontId="2" type="noConversion"/>
  </si>
  <si>
    <t>중소기업창업투자조합 출자등 소득공제</t>
    <phoneticPr fontId="2" type="noConversion"/>
  </si>
  <si>
    <t>교육비</t>
    <phoneticPr fontId="2" type="noConversion"/>
  </si>
  <si>
    <t>교육비 공제대상 금액의</t>
    <phoneticPr fontId="2" type="noConversion"/>
  </si>
  <si>
    <t>정치기부금</t>
    <phoneticPr fontId="2" type="noConversion"/>
  </si>
  <si>
    <t>≤10만원 100/110, ≤3000만원 15% 초과시 25%</t>
    <phoneticPr fontId="2" type="noConversion"/>
  </si>
  <si>
    <t>기부금</t>
    <phoneticPr fontId="2" type="noConversion"/>
  </si>
  <si>
    <t>2000만원 이하 15%, 초과시 30%</t>
    <phoneticPr fontId="2" type="noConversion"/>
  </si>
  <si>
    <t>장기집합투자증권저축 소득공제</t>
    <phoneticPr fontId="2" type="noConversion"/>
  </si>
  <si>
    <t>한도액</t>
    <phoneticPr fontId="2" type="noConversion"/>
  </si>
  <si>
    <t>표준세액공제</t>
    <phoneticPr fontId="2" type="noConversion"/>
  </si>
  <si>
    <t>특별소득공제 및 특별세액공제를 신청하지 않은 경우</t>
    <phoneticPr fontId="2" type="noConversion"/>
  </si>
  <si>
    <t>총급여의</t>
    <phoneticPr fontId="2" type="noConversion"/>
  </si>
  <si>
    <t>납세조합공제</t>
    <phoneticPr fontId="2" type="noConversion"/>
  </si>
  <si>
    <t>원천징수 제외자가 납세조합에 가입 원천징수한 경우</t>
    <phoneticPr fontId="2" type="noConversion"/>
  </si>
  <si>
    <t>주택차입금상환액</t>
    <phoneticPr fontId="2" type="noConversion"/>
  </si>
  <si>
    <t>95.11~97.12 미분양주택 취득시 차입한 대출금 이자 상환액</t>
    <phoneticPr fontId="2" type="noConversion"/>
  </si>
  <si>
    <t>외국납부세액공제</t>
    <phoneticPr fontId="2" type="noConversion"/>
  </si>
  <si>
    <t>원천소득에 대한 외국 납부 세액이 있을 경우</t>
    <phoneticPr fontId="2" type="noConversion"/>
  </si>
  <si>
    <t>월세액세액공제</t>
    <phoneticPr fontId="2" type="noConversion"/>
  </si>
  <si>
    <t>신용카드 사용액</t>
    <phoneticPr fontId="2" type="noConversion"/>
  </si>
  <si>
    <t>결정 세액</t>
    <phoneticPr fontId="2" type="noConversion"/>
  </si>
  <si>
    <t>현금,직불카드 사용액</t>
    <phoneticPr fontId="2" type="noConversion"/>
  </si>
  <si>
    <t>추가 징수 소득세</t>
    <phoneticPr fontId="2" type="noConversion"/>
  </si>
  <si>
    <t>대중교통 사용액</t>
    <phoneticPr fontId="2" type="noConversion"/>
  </si>
  <si>
    <t>추가 징수 주민세</t>
    <phoneticPr fontId="2" type="noConversion"/>
  </si>
  <si>
    <t>전통시장 사용액</t>
    <phoneticPr fontId="2" type="noConversion"/>
  </si>
  <si>
    <t>농어촌특별세</t>
    <phoneticPr fontId="2" type="noConversion"/>
  </si>
  <si>
    <t>신용카드 사용액 (전통시장 제외)</t>
    <phoneticPr fontId="2" type="noConversion"/>
  </si>
  <si>
    <t>현금,직불카드 사용액 (전통시장 제외)</t>
    <phoneticPr fontId="2" type="noConversion"/>
  </si>
  <si>
    <t>연금저축 ('01 이후)</t>
    <phoneticPr fontId="2" type="noConversion"/>
  </si>
  <si>
    <t>2명↓:15만원, 2인초과인당 30만원</t>
    <phoneticPr fontId="2" type="noConversion"/>
  </si>
  <si>
    <t>2017년 근로소득 원천 징수 영수증</t>
    <phoneticPr fontId="2" type="noConversion"/>
  </si>
  <si>
    <t>2017.1.1~2017.12.31</t>
    <phoneticPr fontId="2" type="noConversion"/>
  </si>
  <si>
    <t>목록4</t>
    <phoneticPr fontId="2" type="noConversion"/>
  </si>
  <si>
    <t>둘째</t>
    <phoneticPr fontId="2" type="noConversion"/>
  </si>
  <si>
    <t>첫째</t>
    <phoneticPr fontId="2" type="noConversion"/>
  </si>
  <si>
    <t>셋째이상</t>
    <phoneticPr fontId="2" type="noConversion"/>
  </si>
  <si>
    <t>최초 대상자</t>
    <phoneticPr fontId="2" type="noConversion"/>
  </si>
  <si>
    <t xml:space="preserve">   장애인 및 난임 시술비</t>
  </si>
  <si>
    <t xml:space="preserve">   안경비등은 인당 입력</t>
  </si>
  <si>
    <t>난임시술비</t>
    <phoneticPr fontId="2" type="noConversion"/>
  </si>
  <si>
    <t>공제율</t>
    <phoneticPr fontId="2" type="noConversion"/>
  </si>
  <si>
    <t>공납금</t>
    <phoneticPr fontId="2" type="noConversion"/>
  </si>
  <si>
    <t>교복구입비</t>
    <phoneticPr fontId="2" type="noConversion"/>
  </si>
  <si>
    <t>교복구입비</t>
    <phoneticPr fontId="2" type="noConversion"/>
  </si>
  <si>
    <t>체험학습비</t>
    <phoneticPr fontId="2" type="noConversion"/>
  </si>
  <si>
    <t>통합한도</t>
    <phoneticPr fontId="2" type="noConversion"/>
  </si>
  <si>
    <t>체험학습비</t>
    <phoneticPr fontId="2" type="noConversion"/>
  </si>
  <si>
    <r>
      <t xml:space="preserve">대학생
</t>
    </r>
    <r>
      <rPr>
        <sz val="8"/>
        <rFont val="나눔고딕"/>
        <family val="3"/>
        <charset val="129"/>
      </rPr>
      <t>교육비,국외교육비</t>
    </r>
    <r>
      <rPr>
        <b/>
        <sz val="8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>동거중인 동생,처남,처제
취업,취학,질병을 사유로 일시적 별거도 공제 가능</t>
    </r>
    <phoneticPr fontId="2" type="noConversion"/>
  </si>
  <si>
    <r>
      <rPr>
        <b/>
        <sz val="8"/>
        <rFont val="나눔고딕"/>
        <family val="3"/>
        <charset val="129"/>
      </rPr>
      <t>초중고생</t>
    </r>
    <r>
      <rPr>
        <sz val="8"/>
        <rFont val="나눔고딕"/>
        <family val="3"/>
        <charset val="129"/>
      </rPr>
      <t xml:space="preserve">
교복:50만원
체험학습:30만원
(어학연수제외)
</t>
    </r>
    <r>
      <rPr>
        <b/>
        <sz val="8"/>
        <rFont val="나눔고딕"/>
        <family val="3"/>
        <charset val="129"/>
      </rPr>
      <t>유치원,보육원,취학전</t>
    </r>
    <r>
      <rPr>
        <sz val="8"/>
        <rFont val="나눔고딕"/>
        <family val="3"/>
        <charset val="129"/>
      </rPr>
      <t xml:space="preserve">
어린이집/유치원
방과후 수업료,학원비</t>
    </r>
    <phoneticPr fontId="2" type="noConversion"/>
  </si>
  <si>
    <r>
      <t xml:space="preserve">본인 </t>
    </r>
    <r>
      <rPr>
        <sz val="8"/>
        <color rgb="FFFF0000"/>
        <rFont val="나눔고딕"/>
        <family val="3"/>
        <charset val="129"/>
      </rPr>
      <t>(학자금 대출 원리금 상환액)</t>
    </r>
    <phoneticPr fontId="2" type="noConversion"/>
  </si>
  <si>
    <r>
      <t>※ 급여항목에는 비과세소득을 포함한 총급여를 입력, 비과세소득중, 연장, 야간, 휴일 근로수당은 생산직 근로자이며 전년도 총급여가 2500만원이하, 월 정액 급여150만원이하만 해당합니다.
    비과세소득 : 국외근로수당</t>
    </r>
    <r>
      <rPr>
        <sz val="9"/>
        <color rgb="FFFF0000"/>
        <rFont val="나눔고딕"/>
        <family val="3"/>
        <charset val="129"/>
      </rPr>
      <t>(한국국제보건의료재단포함)</t>
    </r>
    <r>
      <rPr>
        <sz val="9"/>
        <rFont val="나눔고딕"/>
        <family val="3"/>
        <charset val="129"/>
      </rPr>
      <t xml:space="preserve"> 월100만원, 해외 건설노동자,원양,외항선원는 월 300만원, 연구활동비,취재수당,벽지수당,이주수당 월 20만원, </t>
    </r>
    <phoneticPr fontId="2" type="noConversion"/>
  </si>
  <si>
    <r>
      <rPr>
        <b/>
        <sz val="10"/>
        <rFont val="나눔고딕"/>
        <family val="3"/>
        <charset val="129"/>
      </rPr>
      <t>신용카드등
소득공제</t>
    </r>
    <r>
      <rPr>
        <sz val="10"/>
        <rFont val="나눔고딕"/>
        <family val="3"/>
        <charset val="129"/>
      </rPr>
      <t xml:space="preserve">
</t>
    </r>
    <r>
      <rPr>
        <sz val="8"/>
        <rFont val="나눔고딕"/>
        <family val="3"/>
        <charset val="129"/>
      </rPr>
      <t xml:space="preserve">의료비 중복가능
</t>
    </r>
    <r>
      <rPr>
        <sz val="8"/>
        <color rgb="FFFF0000"/>
        <rFont val="나눔고딕"/>
        <family val="3"/>
        <charset val="129"/>
      </rPr>
      <t>중고차 구입액의 10%</t>
    </r>
    <r>
      <rPr>
        <sz val="8"/>
        <rFont val="나눔고딕"/>
        <family val="3"/>
        <charset val="129"/>
      </rPr>
      <t xml:space="preserve">
나이요건 없음
소득요건 있음
</t>
    </r>
    <r>
      <rPr>
        <sz val="8"/>
        <color rgb="FFFF0000"/>
        <rFont val="나눔고딕"/>
        <family val="3"/>
        <charset val="129"/>
      </rPr>
      <t>적용기간
'18.12.31</t>
    </r>
    <phoneticPr fontId="2" type="noConversion"/>
  </si>
  <si>
    <r>
      <t xml:space="preserve">월세액 공제 </t>
    </r>
    <r>
      <rPr>
        <sz val="8"/>
        <color rgb="FFFF0000"/>
        <rFont val="나눔고딕"/>
        <family val="3"/>
        <charset val="129"/>
      </rPr>
      <t>(무주택,총급여 7,000이하)</t>
    </r>
    <phoneticPr fontId="2" type="noConversion"/>
  </si>
  <si>
    <t>고시원 추가, 배우자등이 체결한 계약</t>
    <phoneticPr fontId="2" type="noConversion"/>
  </si>
  <si>
    <t>중소기업 취업자 세액감면</t>
    <phoneticPr fontId="2" type="noConversion"/>
  </si>
  <si>
    <t>해당없음</t>
    <phoneticPr fontId="2" type="noConversion"/>
  </si>
  <si>
    <t>2017년
사용액
(본인 및 본인외)</t>
    <phoneticPr fontId="2" type="noConversion"/>
  </si>
  <si>
    <t>2017년 소득 명세</t>
    <phoneticPr fontId="2" type="noConversion"/>
  </si>
  <si>
    <t>기본공제한도</t>
    <phoneticPr fontId="2" type="noConversion"/>
  </si>
  <si>
    <t>공제금액</t>
    <phoneticPr fontId="2" type="noConversion"/>
  </si>
  <si>
    <t>공제 대상금액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</si>
</sst>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_ "/>
    <numFmt numFmtId="178" formatCode="#,##0.0000_);[Red]\(#,##0.0000\)"/>
    <numFmt numFmtId="179" formatCode="0.0%"/>
    <numFmt numFmtId="180" formatCode="&quot;인&quot;&quot;당&quot;\ #,###\ &quot;만&quot;&quot;원&quot;"/>
    <numFmt numFmtId="181" formatCode="&quot;인&quot;&quot;당&quot;\ #,###&quot;원&quot;"/>
    <numFmt numFmtId="182" formatCode="&quot;한도 : &quot;\ #,###\ &quot;원&quot;"/>
    <numFmt numFmtId="183" formatCode="&quot;투자금액의 &quot;\ #,###\ &quot;%&quot;"/>
    <numFmt numFmtId="184" formatCode="&quot;해당없음 (&quot;0&quot;%)&quot;"/>
    <numFmt numFmtId="185" formatCode="0&quot;명&quot;"/>
    <numFmt numFmtId="186" formatCode="#,###&quot;%&quot;"/>
    <numFmt numFmtId="187" formatCode="0.000%"/>
    <numFmt numFmtId="188" formatCode="&quot;한도:&quot;#,###\ &quot;원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name val="나눔고딕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9"/>
      <name val="나눔고딕"/>
      <family val="3"/>
      <charset val="129"/>
    </font>
    <font>
      <b/>
      <sz val="11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sz val="8"/>
      <name val="나눔고딕"/>
      <family val="3"/>
      <charset val="129"/>
    </font>
    <font>
      <sz val="10"/>
      <color rgb="FF0070C0"/>
      <name val="나눔고딕"/>
      <family val="3"/>
      <charset val="129"/>
    </font>
    <font>
      <sz val="11"/>
      <name val="나눔고딕"/>
      <family val="3"/>
      <charset val="129"/>
    </font>
    <font>
      <b/>
      <sz val="8"/>
      <name val="나눔고딕"/>
      <family val="3"/>
      <charset val="129"/>
    </font>
    <font>
      <sz val="8"/>
      <color rgb="FFFF0000"/>
      <name val="나눔고딕"/>
      <family val="3"/>
      <charset val="129"/>
    </font>
    <font>
      <b/>
      <sz val="9"/>
      <name val="나눔고딕"/>
      <family val="3"/>
      <charset val="129"/>
    </font>
    <font>
      <sz val="10"/>
      <color rgb="FFFF0000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11"/>
      <color rgb="FFFF0000"/>
      <name val="나눔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1">
    <xf numFmtId="0" fontId="0" fillId="0" borderId="0" xfId="0">
      <alignment vertical="center"/>
    </xf>
    <xf numFmtId="0" fontId="5" fillId="2" borderId="0" xfId="0" applyFont="1" applyFill="1" applyBorder="1" applyAlignment="1">
      <alignment horizontal="center" vertical="center"/>
    </xf>
    <xf numFmtId="176" fontId="7" fillId="2" borderId="105" xfId="0" applyNumberFormat="1" applyFont="1" applyFill="1" applyBorder="1" applyAlignment="1" applyProtection="1">
      <alignment horizontal="right" vertical="center"/>
      <protection locked="0"/>
    </xf>
    <xf numFmtId="177" fontId="6" fillId="2" borderId="10" xfId="0" applyNumberFormat="1" applyFont="1" applyFill="1" applyBorder="1" applyAlignment="1" applyProtection="1">
      <alignment horizontal="right" vertical="center"/>
    </xf>
    <xf numFmtId="177" fontId="6" fillId="2" borderId="1" xfId="0" applyNumberFormat="1" applyFont="1" applyFill="1" applyBorder="1" applyAlignment="1" applyProtection="1">
      <alignment horizontal="right" vertical="center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6" fillId="2" borderId="0" xfId="0" applyNumberFormat="1" applyFont="1" applyFill="1" applyAlignment="1">
      <alignment horizontal="center" vertical="center"/>
    </xf>
    <xf numFmtId="176" fontId="7" fillId="2" borderId="65" xfId="0" applyNumberFormat="1" applyFont="1" applyFill="1" applyBorder="1" applyAlignment="1" applyProtection="1">
      <alignment horizontal="right" vertical="center"/>
      <protection locked="0"/>
    </xf>
    <xf numFmtId="177" fontId="6" fillId="2" borderId="12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 applyProtection="1">
      <alignment horizontal="right" vertical="center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6" fontId="7" fillId="2" borderId="106" xfId="0" applyNumberFormat="1" applyFont="1" applyFill="1" applyBorder="1" applyAlignment="1" applyProtection="1">
      <alignment horizontal="right" vertical="center"/>
      <protection locked="0"/>
    </xf>
    <xf numFmtId="177" fontId="6" fillId="2" borderId="14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6" fontId="6" fillId="2" borderId="0" xfId="0" applyNumberFormat="1" applyFont="1" applyFill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185" fontId="14" fillId="4" borderId="0" xfId="0" applyNumberFormat="1" applyFont="1" applyFill="1" applyAlignment="1">
      <alignment horizontal="center" vertical="center"/>
    </xf>
    <xf numFmtId="184" fontId="6" fillId="2" borderId="0" xfId="0" applyNumberFormat="1" applyFont="1" applyFill="1" applyAlignment="1">
      <alignment horizontal="center" vertical="center"/>
    </xf>
    <xf numFmtId="9" fontId="6" fillId="2" borderId="0" xfId="0" applyNumberFormat="1" applyFont="1" applyFill="1" applyAlignment="1">
      <alignment horizontal="center" vertical="center"/>
    </xf>
    <xf numFmtId="0" fontId="7" fillId="4" borderId="77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/>
    </xf>
    <xf numFmtId="177" fontId="9" fillId="4" borderId="77" xfId="0" applyNumberFormat="1" applyFont="1" applyFill="1" applyBorder="1" applyAlignment="1">
      <alignment horizontal="right" vertical="center" indent="3"/>
    </xf>
    <xf numFmtId="176" fontId="12" fillId="4" borderId="81" xfId="0" applyNumberFormat="1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178" fontId="6" fillId="2" borderId="0" xfId="0" applyNumberFormat="1" applyFont="1" applyFill="1" applyAlignment="1">
      <alignment horizontal="center" vertical="center"/>
    </xf>
    <xf numFmtId="185" fontId="8" fillId="4" borderId="2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6" fillId="2" borderId="31" xfId="0" applyNumberFormat="1" applyFont="1" applyFill="1" applyBorder="1" applyAlignment="1" applyProtection="1">
      <alignment horizontal="right" vertical="center"/>
      <protection locked="0"/>
    </xf>
    <xf numFmtId="176" fontId="6" fillId="2" borderId="11" xfId="0" applyNumberFormat="1" applyFont="1" applyFill="1" applyBorder="1" applyAlignment="1" applyProtection="1">
      <alignment horizontal="right" vertical="center"/>
      <protection locked="0"/>
    </xf>
    <xf numFmtId="176" fontId="6" fillId="2" borderId="2" xfId="0" applyNumberFormat="1" applyFont="1" applyFill="1" applyBorder="1" applyAlignment="1" applyProtection="1">
      <alignment horizontal="right" vertical="center"/>
      <protection locked="0"/>
    </xf>
    <xf numFmtId="176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4" borderId="77" xfId="0" applyFont="1" applyFill="1" applyBorder="1" applyAlignment="1">
      <alignment horizontal="center" vertical="center"/>
    </xf>
    <xf numFmtId="176" fontId="6" fillId="4" borderId="77" xfId="0" applyNumberFormat="1" applyFont="1" applyFill="1" applyBorder="1" applyAlignment="1" applyProtection="1">
      <alignment vertical="center"/>
      <protection locked="0"/>
    </xf>
    <xf numFmtId="176" fontId="8" fillId="4" borderId="77" xfId="0" applyNumberFormat="1" applyFont="1" applyFill="1" applyBorder="1" applyAlignment="1">
      <alignment horizontal="right" vertical="center"/>
    </xf>
    <xf numFmtId="9" fontId="6" fillId="4" borderId="77" xfId="0" applyNumberFormat="1" applyFont="1" applyFill="1" applyBorder="1" applyAlignment="1">
      <alignment horizontal="left" vertical="center"/>
    </xf>
    <xf numFmtId="176" fontId="6" fillId="4" borderId="115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>
      <alignment horizontal="center" vertical="center" wrapText="1"/>
    </xf>
    <xf numFmtId="185" fontId="6" fillId="2" borderId="2" xfId="0" applyNumberFormat="1" applyFont="1" applyFill="1" applyBorder="1" applyAlignment="1">
      <alignment horizontal="center" vertical="center" wrapText="1"/>
    </xf>
    <xf numFmtId="185" fontId="6" fillId="2" borderId="29" xfId="0" applyNumberFormat="1" applyFont="1" applyFill="1" applyBorder="1" applyAlignment="1">
      <alignment horizontal="center" vertical="center" wrapText="1"/>
    </xf>
    <xf numFmtId="185" fontId="6" fillId="2" borderId="23" xfId="0" applyNumberFormat="1" applyFont="1" applyFill="1" applyBorder="1" applyAlignment="1">
      <alignment horizontal="center" vertical="center" wrapText="1"/>
    </xf>
    <xf numFmtId="176" fontId="6" fillId="2" borderId="22" xfId="0" applyNumberFormat="1" applyFont="1" applyFill="1" applyBorder="1" applyAlignment="1" applyProtection="1">
      <alignment horizontal="right" vertical="center"/>
      <protection locked="0"/>
    </xf>
    <xf numFmtId="185" fontId="6" fillId="2" borderId="1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176" fontId="6" fillId="2" borderId="23" xfId="0" applyNumberFormat="1" applyFont="1" applyFill="1" applyBorder="1" applyAlignment="1" applyProtection="1">
      <alignment horizontal="right" vertical="center"/>
      <protection locked="0"/>
    </xf>
    <xf numFmtId="176" fontId="6" fillId="2" borderId="29" xfId="0" applyNumberFormat="1" applyFont="1" applyFill="1" applyBorder="1" applyAlignment="1" applyProtection="1">
      <alignment horizontal="right" vertical="center"/>
      <protection locked="0"/>
    </xf>
    <xf numFmtId="176" fontId="6" fillId="2" borderId="21" xfId="0" applyNumberFormat="1" applyFont="1" applyFill="1" applyBorder="1" applyAlignment="1" applyProtection="1">
      <alignment horizontal="right" vertical="center"/>
      <protection locked="0"/>
    </xf>
    <xf numFmtId="185" fontId="8" fillId="4" borderId="29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18" fillId="2" borderId="2" xfId="0" applyNumberFormat="1" applyFont="1" applyFill="1" applyBorder="1" applyAlignment="1" applyProtection="1">
      <alignment horizontal="right" vertical="center"/>
      <protection locked="0"/>
    </xf>
    <xf numFmtId="176" fontId="18" fillId="2" borderId="3" xfId="0" applyNumberFormat="1" applyFont="1" applyFill="1" applyBorder="1" applyAlignment="1" applyProtection="1">
      <alignment horizontal="right" vertical="center"/>
      <protection locked="0"/>
    </xf>
    <xf numFmtId="176" fontId="13" fillId="2" borderId="2" xfId="0" applyNumberFormat="1" applyFont="1" applyFill="1" applyBorder="1" applyAlignment="1" applyProtection="1">
      <alignment horizontal="right" vertical="center"/>
      <protection locked="0"/>
    </xf>
    <xf numFmtId="186" fontId="6" fillId="2" borderId="0" xfId="0" applyNumberFormat="1" applyFont="1" applyFill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 applyProtection="1">
      <alignment horizontal="right" vertical="center"/>
      <protection locked="0"/>
    </xf>
    <xf numFmtId="176" fontId="6" fillId="2" borderId="52" xfId="0" applyNumberFormat="1" applyFont="1" applyFill="1" applyBorder="1" applyAlignment="1" applyProtection="1">
      <alignment horizontal="right" vertical="center"/>
      <protection locked="0"/>
    </xf>
    <xf numFmtId="176" fontId="6" fillId="2" borderId="13" xfId="0" applyNumberFormat="1" applyFont="1" applyFill="1" applyBorder="1" applyAlignment="1" applyProtection="1">
      <alignment horizontal="right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2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176" fontId="6" fillId="8" borderId="9" xfId="0" applyNumberFormat="1" applyFont="1" applyFill="1" applyBorder="1" applyAlignment="1">
      <alignment horizontal="center" vertical="center"/>
    </xf>
    <xf numFmtId="176" fontId="6" fillId="8" borderId="11" xfId="0" applyNumberFormat="1" applyFont="1" applyFill="1" applyBorder="1" applyAlignment="1">
      <alignment horizontal="center" vertical="center"/>
    </xf>
    <xf numFmtId="176" fontId="6" fillId="8" borderId="13" xfId="0" applyNumberFormat="1" applyFont="1" applyFill="1" applyBorder="1" applyAlignment="1">
      <alignment horizontal="center" vertical="center"/>
    </xf>
    <xf numFmtId="176" fontId="7" fillId="8" borderId="15" xfId="0" applyNumberFormat="1" applyFont="1" applyFill="1" applyBorder="1" applyAlignment="1">
      <alignment horizontal="right" vertical="center"/>
    </xf>
    <xf numFmtId="176" fontId="7" fillId="8" borderId="16" xfId="0" applyNumberFormat="1" applyFont="1" applyFill="1" applyBorder="1" applyAlignment="1">
      <alignment horizontal="right" vertical="center"/>
    </xf>
    <xf numFmtId="176" fontId="7" fillId="8" borderId="66" xfId="0" applyNumberFormat="1" applyFont="1" applyFill="1" applyBorder="1" applyAlignment="1">
      <alignment horizontal="right" vertical="center"/>
    </xf>
    <xf numFmtId="176" fontId="7" fillId="8" borderId="17" xfId="0" applyNumberFormat="1" applyFont="1" applyFill="1" applyBorder="1" applyAlignment="1">
      <alignment horizontal="right" vertical="center"/>
    </xf>
    <xf numFmtId="176" fontId="7" fillId="8" borderId="18" xfId="0" applyNumberFormat="1" applyFont="1" applyFill="1" applyBorder="1" applyAlignment="1">
      <alignment horizontal="center" vertical="center"/>
    </xf>
    <xf numFmtId="176" fontId="12" fillId="8" borderId="115" xfId="0" applyNumberFormat="1" applyFont="1" applyFill="1" applyBorder="1" applyAlignment="1">
      <alignment horizontal="center" vertical="center"/>
    </xf>
    <xf numFmtId="176" fontId="12" fillId="8" borderId="45" xfId="0" applyNumberFormat="1" applyFont="1" applyFill="1" applyBorder="1" applyAlignment="1">
      <alignment horizontal="center" vertical="center"/>
    </xf>
    <xf numFmtId="0" fontId="6" fillId="8" borderId="59" xfId="0" applyFont="1" applyFill="1" applyBorder="1" applyAlignment="1">
      <alignment horizontal="center" vertical="center"/>
    </xf>
    <xf numFmtId="176" fontId="6" fillId="8" borderId="22" xfId="0" applyNumberFormat="1" applyFont="1" applyFill="1" applyBorder="1" applyAlignment="1" applyProtection="1">
      <alignment vertical="center" wrapText="1"/>
      <protection locked="0"/>
    </xf>
    <xf numFmtId="180" fontId="12" fillId="8" borderId="54" xfId="0" applyNumberFormat="1" applyFont="1" applyFill="1" applyBorder="1" applyAlignment="1">
      <alignment horizontal="left" vertical="center" wrapText="1"/>
    </xf>
    <xf numFmtId="176" fontId="6" fillId="8" borderId="2" xfId="0" applyNumberFormat="1" applyFont="1" applyFill="1" applyBorder="1" applyAlignment="1" applyProtection="1">
      <alignment vertical="center" wrapText="1"/>
      <protection locked="0"/>
    </xf>
    <xf numFmtId="0" fontId="12" fillId="8" borderId="55" xfId="0" applyFont="1" applyFill="1" applyBorder="1" applyAlignment="1">
      <alignment horizontal="left" vertical="center" wrapText="1"/>
    </xf>
    <xf numFmtId="0" fontId="6" fillId="8" borderId="52" xfId="0" applyFont="1" applyFill="1" applyBorder="1" applyAlignment="1">
      <alignment horizontal="center" vertical="center"/>
    </xf>
    <xf numFmtId="176" fontId="6" fillId="8" borderId="29" xfId="0" applyNumberFormat="1" applyFont="1" applyFill="1" applyBorder="1" applyAlignment="1" applyProtection="1">
      <alignment vertical="center" wrapText="1"/>
      <protection locked="0"/>
    </xf>
    <xf numFmtId="0" fontId="12" fillId="8" borderId="119" xfId="0" applyFont="1" applyFill="1" applyBorder="1" applyAlignment="1">
      <alignment horizontal="left" vertical="center" wrapText="1"/>
    </xf>
    <xf numFmtId="176" fontId="6" fillId="8" borderId="23" xfId="0" applyNumberFormat="1" applyFont="1" applyFill="1" applyBorder="1" applyAlignment="1" applyProtection="1">
      <alignment vertical="center" wrapText="1"/>
      <protection locked="0"/>
    </xf>
    <xf numFmtId="0" fontId="12" fillId="8" borderId="56" xfId="0" applyFont="1" applyFill="1" applyBorder="1" applyAlignment="1">
      <alignment horizontal="left" vertical="center" wrapText="1"/>
    </xf>
    <xf numFmtId="176" fontId="6" fillId="8" borderId="1" xfId="0" applyNumberFormat="1" applyFont="1" applyFill="1" applyBorder="1" applyAlignment="1" applyProtection="1">
      <alignment vertical="center" wrapText="1"/>
      <protection locked="0"/>
    </xf>
    <xf numFmtId="180" fontId="12" fillId="8" borderId="57" xfId="0" applyNumberFormat="1" applyFont="1" applyFill="1" applyBorder="1" applyAlignment="1">
      <alignment horizontal="left" vertical="center" wrapText="1"/>
    </xf>
    <xf numFmtId="176" fontId="12" fillId="8" borderId="24" xfId="0" applyNumberFormat="1" applyFont="1" applyFill="1" applyBorder="1" applyAlignment="1">
      <alignment horizontal="center" vertical="center" wrapText="1"/>
    </xf>
    <xf numFmtId="180" fontId="12" fillId="8" borderId="58" xfId="0" applyNumberFormat="1" applyFont="1" applyFill="1" applyBorder="1" applyAlignment="1">
      <alignment horizontal="left" vertical="center" wrapText="1"/>
    </xf>
    <xf numFmtId="0" fontId="6" fillId="8" borderId="45" xfId="0" applyFont="1" applyFill="1" applyBorder="1" applyAlignment="1">
      <alignment horizontal="center" vertical="center" wrapText="1"/>
    </xf>
    <xf numFmtId="176" fontId="6" fillId="8" borderId="20" xfId="0" applyNumberFormat="1" applyFont="1" applyFill="1" applyBorder="1" applyAlignment="1" applyProtection="1">
      <alignment vertical="center" wrapText="1"/>
      <protection locked="0"/>
    </xf>
    <xf numFmtId="176" fontId="6" fillId="8" borderId="21" xfId="0" applyNumberFormat="1" applyFont="1" applyFill="1" applyBorder="1" applyAlignment="1">
      <alignment vertical="center" wrapText="1"/>
    </xf>
    <xf numFmtId="10" fontId="12" fillId="8" borderId="21" xfId="0" applyNumberFormat="1" applyFont="1" applyFill="1" applyBorder="1" applyAlignment="1">
      <alignment vertical="center" wrapText="1"/>
    </xf>
    <xf numFmtId="177" fontId="12" fillId="8" borderId="24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76" fontId="6" fillId="8" borderId="1" xfId="0" applyNumberFormat="1" applyFont="1" applyFill="1" applyBorder="1" applyAlignment="1">
      <alignment vertical="center" wrapText="1"/>
    </xf>
    <xf numFmtId="177" fontId="12" fillId="8" borderId="25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176" fontId="6" fillId="8" borderId="2" xfId="0" applyNumberFormat="1" applyFont="1" applyFill="1" applyBorder="1" applyAlignment="1">
      <alignment vertical="center" wrapText="1"/>
    </xf>
    <xf numFmtId="187" fontId="12" fillId="8" borderId="2" xfId="0" applyNumberFormat="1" applyFont="1" applyFill="1" applyBorder="1" applyAlignment="1">
      <alignment vertical="center" wrapText="1"/>
    </xf>
    <xf numFmtId="0" fontId="6" fillId="8" borderId="23" xfId="0" applyFont="1" applyFill="1" applyBorder="1" applyAlignment="1">
      <alignment horizontal="center" vertical="center" wrapText="1"/>
    </xf>
    <xf numFmtId="176" fontId="6" fillId="8" borderId="23" xfId="0" applyNumberFormat="1" applyFont="1" applyFill="1" applyBorder="1" applyAlignment="1">
      <alignment vertical="center" wrapText="1"/>
    </xf>
    <xf numFmtId="10" fontId="12" fillId="8" borderId="23" xfId="0" applyNumberFormat="1" applyFont="1" applyFill="1" applyBorder="1" applyAlignment="1">
      <alignment vertical="center" wrapText="1"/>
    </xf>
    <xf numFmtId="177" fontId="12" fillId="8" borderId="26" xfId="0" applyNumberFormat="1" applyFont="1" applyFill="1" applyBorder="1" applyAlignment="1">
      <alignment horizontal="center" vertical="center"/>
    </xf>
    <xf numFmtId="176" fontId="6" fillId="8" borderId="20" xfId="0" applyNumberFormat="1" applyFont="1" applyFill="1" applyBorder="1" applyAlignment="1">
      <alignment vertical="center" wrapText="1"/>
    </xf>
    <xf numFmtId="176" fontId="6" fillId="4" borderId="79" xfId="0" applyNumberFormat="1" applyFont="1" applyFill="1" applyBorder="1" applyAlignment="1">
      <alignment vertical="center" wrapText="1"/>
    </xf>
    <xf numFmtId="176" fontId="12" fillId="8" borderId="10" xfId="0" applyNumberFormat="1" applyFont="1" applyFill="1" applyBorder="1" applyAlignment="1">
      <alignment horizontal="center" vertical="center"/>
    </xf>
    <xf numFmtId="176" fontId="12" fillId="8" borderId="9" xfId="0" applyNumberFormat="1" applyFont="1" applyFill="1" applyBorder="1" applyAlignment="1">
      <alignment horizontal="center" vertical="center"/>
    </xf>
    <xf numFmtId="176" fontId="12" fillId="8" borderId="96" xfId="0" applyNumberFormat="1" applyFont="1" applyFill="1" applyBorder="1" applyAlignment="1">
      <alignment horizontal="center" vertical="center"/>
    </xf>
    <xf numFmtId="176" fontId="6" fillId="2" borderId="79" xfId="0" applyNumberFormat="1" applyFont="1" applyFill="1" applyBorder="1" applyAlignment="1" applyProtection="1">
      <alignment horizontal="right" vertical="center"/>
      <protection locked="0"/>
    </xf>
    <xf numFmtId="176" fontId="12" fillId="8" borderId="90" xfId="0" applyNumberFormat="1" applyFont="1" applyFill="1" applyBorder="1" applyAlignment="1">
      <alignment horizontal="center" vertical="center"/>
    </xf>
    <xf numFmtId="176" fontId="12" fillId="8" borderId="43" xfId="0" applyNumberFormat="1" applyFont="1" applyFill="1" applyBorder="1" applyAlignment="1">
      <alignment horizontal="center" vertical="center"/>
    </xf>
    <xf numFmtId="176" fontId="12" fillId="8" borderId="33" xfId="0" applyNumberFormat="1" applyFont="1" applyFill="1" applyBorder="1" applyAlignment="1">
      <alignment horizontal="center" vertical="center"/>
    </xf>
    <xf numFmtId="176" fontId="15" fillId="8" borderId="24" xfId="0" applyNumberFormat="1" applyFont="1" applyFill="1" applyBorder="1" applyAlignment="1">
      <alignment horizontal="center" vertical="center"/>
    </xf>
    <xf numFmtId="177" fontId="12" fillId="8" borderId="25" xfId="0" applyNumberFormat="1" applyFont="1" applyFill="1" applyBorder="1" applyAlignment="1">
      <alignment horizontal="center" vertical="center" wrapText="1"/>
    </xf>
    <xf numFmtId="176" fontId="8" fillId="8" borderId="59" xfId="0" applyNumberFormat="1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vertical="center"/>
    </xf>
    <xf numFmtId="176" fontId="15" fillId="8" borderId="78" xfId="0" applyNumberFormat="1" applyFont="1" applyFill="1" applyBorder="1" applyAlignment="1">
      <alignment horizontal="center" vertical="center"/>
    </xf>
    <xf numFmtId="177" fontId="12" fillId="8" borderId="26" xfId="0" applyNumberFormat="1" applyFont="1" applyFill="1" applyBorder="1" applyAlignment="1">
      <alignment horizontal="center" vertical="center" wrapText="1"/>
    </xf>
    <xf numFmtId="176" fontId="12" fillId="8" borderId="49" xfId="0" applyNumberFormat="1" applyFont="1" applyFill="1" applyBorder="1" applyAlignment="1">
      <alignment vertical="center"/>
    </xf>
    <xf numFmtId="176" fontId="8" fillId="8" borderId="96" xfId="0" applyNumberFormat="1" applyFont="1" applyFill="1" applyBorder="1" applyAlignment="1">
      <alignment horizontal="center" vertical="center" wrapText="1"/>
    </xf>
    <xf numFmtId="176" fontId="12" fillId="8" borderId="29" xfId="0" applyNumberFormat="1" applyFont="1" applyFill="1" applyBorder="1" applyAlignment="1">
      <alignment vertical="center"/>
    </xf>
    <xf numFmtId="176" fontId="12" fillId="8" borderId="107" xfId="0" applyNumberFormat="1" applyFont="1" applyFill="1" applyBorder="1" applyAlignment="1">
      <alignment vertical="center"/>
    </xf>
    <xf numFmtId="176" fontId="8" fillId="8" borderId="43" xfId="0" applyNumberFormat="1" applyFont="1" applyFill="1" applyBorder="1" applyAlignment="1">
      <alignment horizontal="center" vertical="center" wrapText="1"/>
    </xf>
    <xf numFmtId="176" fontId="12" fillId="8" borderId="23" xfId="0" applyNumberFormat="1" applyFont="1" applyFill="1" applyBorder="1" applyAlignment="1">
      <alignment vertical="center"/>
    </xf>
    <xf numFmtId="176" fontId="12" fillId="8" borderId="33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center" vertical="center" wrapText="1"/>
    </xf>
    <xf numFmtId="176" fontId="6" fillId="8" borderId="62" xfId="0" applyNumberFormat="1" applyFont="1" applyFill="1" applyBorder="1" applyAlignment="1">
      <alignment horizontal="center" vertical="center"/>
    </xf>
    <xf numFmtId="176" fontId="6" fillId="8" borderId="64" xfId="0" applyNumberFormat="1" applyFont="1" applyFill="1" applyBorder="1" applyAlignment="1">
      <alignment horizontal="center" vertical="center"/>
    </xf>
    <xf numFmtId="9" fontId="18" fillId="4" borderId="45" xfId="0" applyNumberFormat="1" applyFont="1" applyFill="1" applyBorder="1" applyAlignment="1">
      <alignment horizontal="center" vertical="center"/>
    </xf>
    <xf numFmtId="176" fontId="6" fillId="8" borderId="23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vertical="center"/>
    </xf>
    <xf numFmtId="176" fontId="6" fillId="8" borderId="24" xfId="0" applyNumberFormat="1" applyFont="1" applyFill="1" applyBorder="1" applyAlignment="1">
      <alignment horizontal="center" vertical="center"/>
    </xf>
    <xf numFmtId="177" fontId="6" fillId="8" borderId="2" xfId="0" applyNumberFormat="1" applyFont="1" applyFill="1" applyBorder="1" applyAlignment="1" applyProtection="1">
      <alignment vertical="center"/>
      <protection locked="0"/>
    </xf>
    <xf numFmtId="176" fontId="6" fillId="8" borderId="50" xfId="0" applyNumberFormat="1" applyFont="1" applyFill="1" applyBorder="1" applyAlignment="1">
      <alignment vertical="center"/>
    </xf>
    <xf numFmtId="176" fontId="6" fillId="8" borderId="60" xfId="0" applyNumberFormat="1" applyFont="1" applyFill="1" applyBorder="1" applyAlignment="1">
      <alignment vertical="center"/>
    </xf>
    <xf numFmtId="177" fontId="6" fillId="8" borderId="29" xfId="0" applyNumberFormat="1" applyFont="1" applyFill="1" applyBorder="1" applyAlignment="1" applyProtection="1">
      <alignment vertical="center"/>
      <protection locked="0"/>
    </xf>
    <xf numFmtId="0" fontId="6" fillId="8" borderId="127" xfId="0" applyFont="1" applyFill="1" applyBorder="1" applyAlignment="1">
      <alignment horizontal="center" vertical="center"/>
    </xf>
    <xf numFmtId="176" fontId="6" fillId="8" borderId="23" xfId="0" applyNumberFormat="1" applyFont="1" applyFill="1" applyBorder="1" applyAlignment="1" applyProtection="1">
      <alignment vertical="center"/>
      <protection locked="0"/>
    </xf>
    <xf numFmtId="176" fontId="6" fillId="8" borderId="1" xfId="0" applyNumberFormat="1" applyFont="1" applyFill="1" applyBorder="1" applyAlignment="1" applyProtection="1">
      <alignment vertical="center"/>
      <protection locked="0"/>
    </xf>
    <xf numFmtId="176" fontId="6" fillId="8" borderId="29" xfId="0" applyNumberFormat="1" applyFont="1" applyFill="1" applyBorder="1" applyAlignment="1" applyProtection="1">
      <alignment vertical="center"/>
      <protection locked="0"/>
    </xf>
    <xf numFmtId="9" fontId="6" fillId="8" borderId="109" xfId="0" applyNumberFormat="1" applyFont="1" applyFill="1" applyBorder="1" applyAlignment="1">
      <alignment horizontal="left" vertical="center"/>
    </xf>
    <xf numFmtId="176" fontId="12" fillId="8" borderId="61" xfId="0" applyNumberFormat="1" applyFont="1" applyFill="1" applyBorder="1" applyAlignment="1">
      <alignment horizontal="center" vertical="center" wrapText="1"/>
    </xf>
    <xf numFmtId="176" fontId="6" fillId="8" borderId="39" xfId="0" applyNumberFormat="1" applyFont="1" applyFill="1" applyBorder="1" applyAlignment="1">
      <alignment horizontal="right" vertical="center"/>
    </xf>
    <xf numFmtId="9" fontId="6" fillId="8" borderId="60" xfId="0" applyNumberFormat="1" applyFont="1" applyFill="1" applyBorder="1" applyAlignment="1">
      <alignment horizontal="left" vertical="center"/>
    </xf>
    <xf numFmtId="176" fontId="6" fillId="8" borderId="21" xfId="0" applyNumberFormat="1" applyFont="1" applyFill="1" applyBorder="1" applyAlignment="1">
      <alignment horizontal="right" vertical="center"/>
    </xf>
    <xf numFmtId="176" fontId="6" fillId="8" borderId="2" xfId="0" applyNumberFormat="1" applyFont="1" applyFill="1" applyBorder="1" applyAlignment="1" applyProtection="1">
      <alignment vertical="center"/>
      <protection locked="0"/>
    </xf>
    <xf numFmtId="176" fontId="6" fillId="8" borderId="3" xfId="0" applyNumberFormat="1" applyFont="1" applyFill="1" applyBorder="1" applyAlignment="1" applyProtection="1">
      <alignment vertical="center"/>
      <protection locked="0"/>
    </xf>
    <xf numFmtId="176" fontId="6" fillId="8" borderId="1" xfId="0" applyNumberFormat="1" applyFont="1" applyFill="1" applyBorder="1" applyAlignment="1">
      <alignment horizontal="right" vertical="center"/>
    </xf>
    <xf numFmtId="177" fontId="12" fillId="8" borderId="62" xfId="0" applyNumberFormat="1" applyFont="1" applyFill="1" applyBorder="1" applyAlignment="1">
      <alignment horizontal="center" vertical="center"/>
    </xf>
    <xf numFmtId="9" fontId="12" fillId="8" borderId="24" xfId="0" applyNumberFormat="1" applyFont="1" applyFill="1" applyBorder="1" applyAlignment="1">
      <alignment horizontal="center" vertical="center"/>
    </xf>
    <xf numFmtId="176" fontId="6" fillId="8" borderId="22" xfId="0" applyNumberFormat="1" applyFont="1" applyFill="1" applyBorder="1" applyAlignment="1">
      <alignment horizontal="right" vertical="center"/>
    </xf>
    <xf numFmtId="177" fontId="12" fillId="8" borderId="108" xfId="0" applyNumberFormat="1" applyFont="1" applyFill="1" applyBorder="1" applyAlignment="1">
      <alignment horizontal="center" vertical="center"/>
    </xf>
    <xf numFmtId="9" fontId="12" fillId="8" borderId="109" xfId="0" applyNumberFormat="1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horizontal="right" vertical="center"/>
    </xf>
    <xf numFmtId="177" fontId="12" fillId="8" borderId="63" xfId="0" applyNumberFormat="1" applyFont="1" applyFill="1" applyBorder="1" applyAlignment="1">
      <alignment horizontal="center" vertical="center"/>
    </xf>
    <xf numFmtId="176" fontId="6" fillId="8" borderId="23" xfId="0" applyNumberFormat="1" applyFont="1" applyFill="1" applyBorder="1" applyAlignment="1">
      <alignment horizontal="right" vertical="center"/>
    </xf>
    <xf numFmtId="177" fontId="12" fillId="8" borderId="64" xfId="0" applyNumberFormat="1" applyFont="1" applyFill="1" applyBorder="1" applyAlignment="1">
      <alignment horizontal="center" vertical="center"/>
    </xf>
    <xf numFmtId="176" fontId="12" fillId="8" borderId="26" xfId="0" applyNumberFormat="1" applyFont="1" applyFill="1" applyBorder="1" applyAlignment="1">
      <alignment horizontal="center" vertical="center"/>
    </xf>
    <xf numFmtId="177" fontId="12" fillId="8" borderId="62" xfId="0" applyNumberFormat="1" applyFont="1" applyFill="1" applyBorder="1" applyAlignment="1">
      <alignment horizontal="center" vertical="center" wrapText="1"/>
    </xf>
    <xf numFmtId="177" fontId="15" fillId="8" borderId="61" xfId="0" applyNumberFormat="1" applyFont="1" applyFill="1" applyBorder="1" applyAlignment="1">
      <alignment horizontal="center" vertical="center"/>
    </xf>
    <xf numFmtId="176" fontId="15" fillId="8" borderId="27" xfId="0" applyNumberFormat="1" applyFont="1" applyFill="1" applyBorder="1" applyAlignment="1">
      <alignment horizontal="center" vertical="center"/>
    </xf>
    <xf numFmtId="177" fontId="12" fillId="8" borderId="39" xfId="0" applyNumberFormat="1" applyFont="1" applyFill="1" applyBorder="1" applyAlignment="1">
      <alignment horizontal="right" vertical="center"/>
    </xf>
    <xf numFmtId="9" fontId="12" fillId="8" borderId="27" xfId="0" applyNumberFormat="1" applyFont="1" applyFill="1" applyBorder="1" applyAlignment="1">
      <alignment horizontal="left" vertical="center"/>
    </xf>
    <xf numFmtId="177" fontId="12" fillId="8" borderId="61" xfId="0" applyNumberFormat="1" applyFont="1" applyFill="1" applyBorder="1" applyAlignment="1">
      <alignment horizontal="center" vertical="center"/>
    </xf>
    <xf numFmtId="176" fontId="6" fillId="8" borderId="28" xfId="0" applyNumberFormat="1" applyFont="1" applyFill="1" applyBorder="1" applyAlignment="1">
      <alignment horizontal="right" vertical="center"/>
    </xf>
    <xf numFmtId="176" fontId="12" fillId="4" borderId="21" xfId="0" applyNumberFormat="1" applyFont="1" applyFill="1" applyBorder="1" applyAlignment="1">
      <alignment horizontal="center" vertical="center"/>
    </xf>
    <xf numFmtId="176" fontId="18" fillId="2" borderId="12" xfId="0" applyNumberFormat="1" applyFont="1" applyFill="1" applyBorder="1" applyAlignment="1" applyProtection="1">
      <alignment horizontal="right" vertical="center"/>
      <protection locked="0"/>
    </xf>
    <xf numFmtId="0" fontId="6" fillId="2" borderId="95" xfId="0" applyFont="1" applyFill="1" applyBorder="1" applyAlignment="1">
      <alignment horizontal="center" vertical="center"/>
    </xf>
    <xf numFmtId="176" fontId="12" fillId="8" borderId="89" xfId="0" applyNumberFormat="1" applyFont="1" applyFill="1" applyBorder="1" applyAlignment="1">
      <alignment horizontal="center" vertical="center"/>
    </xf>
    <xf numFmtId="176" fontId="12" fillId="8" borderId="31" xfId="0" applyNumberFormat="1" applyFont="1" applyFill="1" applyBorder="1" applyAlignment="1">
      <alignment vertical="center"/>
    </xf>
    <xf numFmtId="179" fontId="12" fillId="8" borderId="39" xfId="0" applyNumberFormat="1" applyFont="1" applyFill="1" applyBorder="1" applyAlignment="1">
      <alignment vertical="center"/>
    </xf>
    <xf numFmtId="176" fontId="12" fillId="8" borderId="27" xfId="0" applyNumberFormat="1" applyFont="1" applyFill="1" applyBorder="1" applyAlignment="1">
      <alignment vertical="center"/>
    </xf>
    <xf numFmtId="176" fontId="12" fillId="8" borderId="79" xfId="0" applyNumberFormat="1" applyFont="1" applyFill="1" applyBorder="1" applyAlignment="1">
      <alignment vertical="center"/>
    </xf>
    <xf numFmtId="176" fontId="6" fillId="2" borderId="63" xfId="0" applyNumberFormat="1" applyFont="1" applyFill="1" applyBorder="1" applyAlignment="1" applyProtection="1">
      <alignment horizontal="right" vertical="center"/>
      <protection locked="0"/>
    </xf>
    <xf numFmtId="176" fontId="6" fillId="4" borderId="129" xfId="0" applyNumberFormat="1" applyFont="1" applyFill="1" applyBorder="1" applyAlignment="1">
      <alignment vertical="center"/>
    </xf>
    <xf numFmtId="176" fontId="6" fillId="2" borderId="125" xfId="0" applyNumberFormat="1" applyFont="1" applyFill="1" applyBorder="1" applyAlignment="1" applyProtection="1">
      <alignment horizontal="right" vertical="center"/>
      <protection locked="0"/>
    </xf>
    <xf numFmtId="176" fontId="6" fillId="4" borderId="46" xfId="0" applyNumberFormat="1" applyFont="1" applyFill="1" applyBorder="1" applyAlignment="1">
      <alignment vertical="center"/>
    </xf>
    <xf numFmtId="176" fontId="6" fillId="4" borderId="45" xfId="0" applyNumberFormat="1" applyFont="1" applyFill="1" applyBorder="1" applyAlignment="1">
      <alignment vertical="center"/>
    </xf>
    <xf numFmtId="176" fontId="7" fillId="8" borderId="82" xfId="0" applyNumberFormat="1" applyFont="1" applyFill="1" applyBorder="1" applyAlignment="1">
      <alignment horizontal="right" vertical="center"/>
    </xf>
    <xf numFmtId="176" fontId="9" fillId="4" borderId="0" xfId="0" applyNumberFormat="1" applyFont="1" applyFill="1" applyBorder="1" applyAlignment="1">
      <alignment horizontal="right" vertical="center" indent="3"/>
    </xf>
    <xf numFmtId="176" fontId="12" fillId="4" borderId="0" xfId="0" quotePrefix="1" applyNumberFormat="1" applyFont="1" applyFill="1" applyBorder="1" applyAlignment="1">
      <alignment horizontal="left" vertical="center" wrapText="1"/>
    </xf>
    <xf numFmtId="176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177" fontId="12" fillId="4" borderId="0" xfId="0" applyNumberFormat="1" applyFont="1" applyFill="1" applyBorder="1" applyAlignment="1">
      <alignment horizontal="center" vertical="center" wrapText="1"/>
    </xf>
    <xf numFmtId="177" fontId="12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183" fontId="12" fillId="4" borderId="0" xfId="0" applyNumberFormat="1" applyFont="1" applyFill="1" applyBorder="1" applyAlignment="1">
      <alignment horizontal="center" vertical="center" wrapText="1"/>
    </xf>
    <xf numFmtId="182" fontId="12" fillId="4" borderId="0" xfId="0" applyNumberFormat="1" applyFont="1" applyFill="1" applyBorder="1" applyAlignment="1">
      <alignment vertical="center"/>
    </xf>
    <xf numFmtId="176" fontId="9" fillId="4" borderId="0" xfId="0" applyNumberFormat="1" applyFont="1" applyFill="1" applyBorder="1" applyAlignment="1" applyProtection="1">
      <alignment horizontal="right" vertical="center" indent="3"/>
      <protection locked="0"/>
    </xf>
    <xf numFmtId="177" fontId="20" fillId="4" borderId="0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/>
    </xf>
    <xf numFmtId="176" fontId="8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left" vertical="center"/>
    </xf>
    <xf numFmtId="176" fontId="19" fillId="4" borderId="0" xfId="0" applyNumberFormat="1" applyFont="1" applyFill="1" applyBorder="1" applyAlignment="1">
      <alignment horizontal="center" vertical="center"/>
    </xf>
    <xf numFmtId="177" fontId="9" fillId="4" borderId="0" xfId="0" applyNumberFormat="1" applyFont="1" applyFill="1" applyBorder="1" applyAlignment="1">
      <alignment horizontal="center" vertical="center"/>
    </xf>
    <xf numFmtId="177" fontId="9" fillId="4" borderId="0" xfId="0" applyNumberFormat="1" applyFont="1" applyFill="1" applyBorder="1" applyAlignment="1">
      <alignment horizontal="right" vertical="center" indent="3"/>
    </xf>
    <xf numFmtId="0" fontId="6" fillId="4" borderId="0" xfId="0" applyFont="1" applyFill="1" applyAlignment="1">
      <alignment horizontal="center" vertical="center"/>
    </xf>
    <xf numFmtId="177" fontId="6" fillId="4" borderId="0" xfId="0" applyNumberFormat="1" applyFont="1" applyFill="1" applyAlignment="1">
      <alignment horizontal="center" vertical="center"/>
    </xf>
    <xf numFmtId="188" fontId="12" fillId="8" borderId="111" xfId="0" applyNumberFormat="1" applyFont="1" applyFill="1" applyBorder="1" applyAlignment="1">
      <alignment vertical="center"/>
    </xf>
    <xf numFmtId="176" fontId="8" fillId="8" borderId="12" xfId="0" applyNumberFormat="1" applyFont="1" applyFill="1" applyBorder="1" applyAlignment="1">
      <alignment horizontal="center" vertical="center"/>
    </xf>
    <xf numFmtId="176" fontId="8" fillId="8" borderId="4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76" fontId="12" fillId="8" borderId="25" xfId="0" applyNumberFormat="1" applyFont="1" applyFill="1" applyBorder="1" applyAlignment="1">
      <alignment horizontal="center" vertical="center"/>
    </xf>
    <xf numFmtId="176" fontId="12" fillId="8" borderId="41" xfId="0" applyNumberFormat="1" applyFont="1" applyFill="1" applyBorder="1" applyAlignment="1">
      <alignment horizontal="center" vertical="center"/>
    </xf>
    <xf numFmtId="176" fontId="12" fillId="8" borderId="24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176" fontId="12" fillId="8" borderId="23" xfId="0" applyNumberFormat="1" applyFont="1" applyFill="1" applyBorder="1" applyAlignment="1">
      <alignment horizontal="center" vertical="center"/>
    </xf>
    <xf numFmtId="176" fontId="12" fillId="8" borderId="78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176" fontId="12" fillId="8" borderId="35" xfId="0" applyNumberFormat="1" applyFont="1" applyFill="1" applyBorder="1" applyAlignment="1">
      <alignment horizontal="center" vertical="center"/>
    </xf>
    <xf numFmtId="176" fontId="12" fillId="8" borderId="92" xfId="0" applyNumberFormat="1" applyFont="1" applyFill="1" applyBorder="1" applyAlignment="1">
      <alignment horizontal="center" vertical="center"/>
    </xf>
    <xf numFmtId="176" fontId="12" fillId="8" borderId="81" xfId="0" applyNumberFormat="1" applyFont="1" applyFill="1" applyBorder="1" applyAlignment="1">
      <alignment horizontal="center" vertical="center"/>
    </xf>
    <xf numFmtId="176" fontId="7" fillId="3" borderId="19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177" fontId="8" fillId="8" borderId="1" xfId="0" applyNumberFormat="1" applyFont="1" applyFill="1" applyBorder="1" applyAlignment="1">
      <alignment horizontal="center" vertical="center"/>
    </xf>
    <xf numFmtId="177" fontId="14" fillId="8" borderId="24" xfId="0" applyNumberFormat="1" applyFont="1" applyFill="1" applyBorder="1" applyAlignment="1">
      <alignment horizontal="center" vertical="center"/>
    </xf>
    <xf numFmtId="176" fontId="9" fillId="8" borderId="26" xfId="0" applyNumberFormat="1" applyFont="1" applyFill="1" applyBorder="1" applyAlignment="1">
      <alignment horizontal="center" vertical="center"/>
    </xf>
    <xf numFmtId="176" fontId="12" fillId="8" borderId="20" xfId="0" applyNumberFormat="1" applyFont="1" applyFill="1" applyBorder="1" applyAlignment="1">
      <alignment vertical="center"/>
    </xf>
    <xf numFmtId="187" fontId="16" fillId="8" borderId="22" xfId="0" applyNumberFormat="1" applyFont="1" applyFill="1" applyBorder="1" applyAlignment="1">
      <alignment vertical="center" wrapText="1"/>
    </xf>
    <xf numFmtId="176" fontId="19" fillId="8" borderId="63" xfId="0" applyNumberFormat="1" applyFont="1" applyFill="1" applyBorder="1" applyAlignment="1">
      <alignment horizontal="center" vertical="center"/>
    </xf>
    <xf numFmtId="176" fontId="19" fillId="4" borderId="25" xfId="0" applyNumberFormat="1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horizontal="center" vertical="center"/>
    </xf>
    <xf numFmtId="177" fontId="18" fillId="8" borderId="29" xfId="0" applyNumberFormat="1" applyFont="1" applyFill="1" applyBorder="1" applyAlignment="1" applyProtection="1">
      <alignment vertical="center"/>
      <protection locked="0"/>
    </xf>
    <xf numFmtId="177" fontId="16" fillId="8" borderId="128" xfId="0" applyNumberFormat="1" applyFont="1" applyFill="1" applyBorder="1" applyAlignment="1">
      <alignment horizontal="center" vertical="center"/>
    </xf>
    <xf numFmtId="176" fontId="16" fillId="8" borderId="112" xfId="0" applyNumberFormat="1" applyFont="1" applyFill="1" applyBorder="1" applyAlignment="1">
      <alignment horizontal="center" vertical="center"/>
    </xf>
    <xf numFmtId="179" fontId="16" fillId="8" borderId="53" xfId="0" applyNumberFormat="1" applyFont="1" applyFill="1" applyBorder="1" applyAlignment="1">
      <alignment horizontal="right" vertical="center"/>
    </xf>
    <xf numFmtId="9" fontId="16" fillId="8" borderId="89" xfId="0" applyNumberFormat="1" applyFont="1" applyFill="1" applyBorder="1" applyAlignment="1">
      <alignment horizontal="right" vertical="center"/>
    </xf>
    <xf numFmtId="0" fontId="18" fillId="8" borderId="12" xfId="0" applyFont="1" applyFill="1" applyBorder="1" applyAlignment="1">
      <alignment horizontal="center" vertical="center"/>
    </xf>
    <xf numFmtId="176" fontId="18" fillId="8" borderId="29" xfId="0" applyNumberFormat="1" applyFont="1" applyFill="1" applyBorder="1" applyAlignment="1" applyProtection="1">
      <alignment vertical="center"/>
      <protection locked="0"/>
    </xf>
    <xf numFmtId="181" fontId="12" fillId="8" borderId="33" xfId="0" applyNumberFormat="1" applyFont="1" applyFill="1" applyBorder="1" applyAlignment="1">
      <alignment horizontal="center" vertical="center"/>
    </xf>
    <xf numFmtId="181" fontId="12" fillId="8" borderId="89" xfId="0" applyNumberFormat="1" applyFont="1" applyFill="1" applyBorder="1" applyAlignment="1">
      <alignment horizontal="center" vertical="center"/>
    </xf>
    <xf numFmtId="181" fontId="12" fillId="8" borderId="91" xfId="0" applyNumberFormat="1" applyFont="1" applyFill="1" applyBorder="1" applyAlignment="1">
      <alignment horizontal="center" vertical="center"/>
    </xf>
    <xf numFmtId="176" fontId="19" fillId="8" borderId="96" xfId="0" applyNumberFormat="1" applyFont="1" applyFill="1" applyBorder="1" applyAlignment="1">
      <alignment horizontal="center" vertical="center"/>
    </xf>
    <xf numFmtId="176" fontId="8" fillId="8" borderId="21" xfId="0" applyNumberFormat="1" applyFont="1" applyFill="1" applyBorder="1" applyAlignment="1">
      <alignment horizontal="center" vertical="center" wrapText="1"/>
    </xf>
    <xf numFmtId="176" fontId="8" fillId="8" borderId="21" xfId="0" applyNumberFormat="1" applyFont="1" applyFill="1" applyBorder="1" applyAlignment="1" applyProtection="1">
      <alignment horizontal="center" vertical="center"/>
      <protection locked="0"/>
    </xf>
    <xf numFmtId="181" fontId="19" fillId="8" borderId="21" xfId="0" applyNumberFormat="1" applyFont="1" applyFill="1" applyBorder="1" applyAlignment="1">
      <alignment horizontal="center" vertical="center"/>
    </xf>
    <xf numFmtId="181" fontId="16" fillId="8" borderId="91" xfId="0" applyNumberFormat="1" applyFont="1" applyFill="1" applyBorder="1" applyAlignment="1">
      <alignment horizontal="center" vertical="center"/>
    </xf>
    <xf numFmtId="181" fontId="16" fillId="8" borderId="33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vertical="center"/>
    </xf>
    <xf numFmtId="177" fontId="6" fillId="2" borderId="22" xfId="0" applyNumberFormat="1" applyFont="1" applyFill="1" applyBorder="1" applyAlignment="1" applyProtection="1">
      <alignment horizontal="right" vertical="center"/>
      <protection locked="0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176" fontId="18" fillId="4" borderId="1" xfId="0" applyNumberFormat="1" applyFont="1" applyFill="1" applyBorder="1" applyAlignment="1">
      <alignment vertical="center"/>
    </xf>
    <xf numFmtId="176" fontId="18" fillId="4" borderId="2" xfId="0" applyNumberFormat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vertical="center"/>
    </xf>
    <xf numFmtId="176" fontId="18" fillId="4" borderId="23" xfId="0" applyNumberFormat="1" applyFont="1" applyFill="1" applyBorder="1" applyAlignment="1">
      <alignment vertical="center"/>
    </xf>
    <xf numFmtId="176" fontId="18" fillId="8" borderId="2" xfId="0" applyNumberFormat="1" applyFont="1" applyFill="1" applyBorder="1" applyAlignment="1">
      <alignment vertical="center" wrapText="1"/>
    </xf>
    <xf numFmtId="176" fontId="16" fillId="8" borderId="109" xfId="0" applyNumberFormat="1" applyFont="1" applyFill="1" applyBorder="1" applyAlignment="1">
      <alignment horizontal="center" vertical="center"/>
    </xf>
    <xf numFmtId="176" fontId="16" fillId="8" borderId="61" xfId="0" applyNumberFormat="1" applyFont="1" applyFill="1" applyBorder="1" applyAlignment="1">
      <alignment horizontal="center" vertical="center"/>
    </xf>
    <xf numFmtId="176" fontId="16" fillId="8" borderId="111" xfId="0" applyNumberFormat="1" applyFont="1" applyFill="1" applyBorder="1" applyAlignment="1">
      <alignment horizontal="center" vertical="center"/>
    </xf>
    <xf numFmtId="9" fontId="16" fillId="8" borderId="25" xfId="0" applyNumberFormat="1" applyFont="1" applyFill="1" applyBorder="1" applyAlignment="1">
      <alignment horizontal="center" vertical="center"/>
    </xf>
    <xf numFmtId="9" fontId="6" fillId="8" borderId="103" xfId="0" applyNumberFormat="1" applyFont="1" applyFill="1" applyBorder="1" applyAlignment="1">
      <alignment horizontal="center" vertical="center"/>
    </xf>
    <xf numFmtId="176" fontId="16" fillId="8" borderId="25" xfId="0" applyNumberFormat="1" applyFont="1" applyFill="1" applyBorder="1" applyAlignment="1">
      <alignment horizontal="center" vertical="center"/>
    </xf>
    <xf numFmtId="176" fontId="18" fillId="8" borderId="50" xfId="0" applyNumberFormat="1" applyFont="1" applyFill="1" applyBorder="1" applyAlignment="1">
      <alignment vertical="center"/>
    </xf>
    <xf numFmtId="176" fontId="18" fillId="8" borderId="60" xfId="0" applyNumberFormat="1" applyFont="1" applyFill="1" applyBorder="1" applyAlignment="1">
      <alignment vertical="center"/>
    </xf>
    <xf numFmtId="176" fontId="18" fillId="2" borderId="21" xfId="0" applyNumberFormat="1" applyFont="1" applyFill="1" applyBorder="1" applyAlignment="1" applyProtection="1">
      <alignment horizontal="right" vertical="center"/>
      <protection locked="0"/>
    </xf>
    <xf numFmtId="176" fontId="12" fillId="4" borderId="0" xfId="0" quotePrefix="1" applyNumberFormat="1" applyFont="1" applyFill="1" applyBorder="1" applyAlignment="1">
      <alignment horizontal="center" vertical="center" wrapText="1"/>
    </xf>
    <xf numFmtId="176" fontId="12" fillId="4" borderId="0" xfId="0" quotePrefix="1" applyNumberFormat="1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6" fontId="6" fillId="4" borderId="62" xfId="0" applyNumberFormat="1" applyFont="1" applyFill="1" applyBorder="1" applyAlignment="1">
      <alignment horizontal="right" vertical="center"/>
    </xf>
    <xf numFmtId="176" fontId="6" fillId="4" borderId="63" xfId="0" applyNumberFormat="1" applyFont="1" applyFill="1" applyBorder="1" applyAlignment="1">
      <alignment horizontal="right" vertical="center"/>
    </xf>
    <xf numFmtId="176" fontId="6" fillId="4" borderId="131" xfId="0" applyNumberFormat="1" applyFont="1" applyFill="1" applyBorder="1" applyAlignment="1">
      <alignment vertical="center"/>
    </xf>
    <xf numFmtId="176" fontId="6" fillId="4" borderId="64" xfId="0" applyNumberFormat="1" applyFont="1" applyFill="1" applyBorder="1" applyAlignment="1">
      <alignment horizontal="right" vertical="center"/>
    </xf>
    <xf numFmtId="176" fontId="17" fillId="8" borderId="9" xfId="0" applyNumberFormat="1" applyFont="1" applyFill="1" applyBorder="1" applyAlignment="1">
      <alignment horizontal="center" vertical="center"/>
    </xf>
    <xf numFmtId="176" fontId="6" fillId="8" borderId="78" xfId="0" applyNumberFormat="1" applyFont="1" applyFill="1" applyBorder="1" applyAlignment="1">
      <alignment vertical="center"/>
    </xf>
    <xf numFmtId="176" fontId="17" fillId="8" borderId="133" xfId="0" applyNumberFormat="1" applyFont="1" applyFill="1" applyBorder="1" applyAlignment="1">
      <alignment horizontal="center" vertical="center"/>
    </xf>
    <xf numFmtId="176" fontId="7" fillId="8" borderId="78" xfId="0" applyNumberFormat="1" applyFont="1" applyFill="1" applyBorder="1" applyAlignment="1">
      <alignment vertical="center"/>
    </xf>
    <xf numFmtId="176" fontId="12" fillId="8" borderId="1" xfId="0" applyNumberFormat="1" applyFont="1" applyFill="1" applyBorder="1" applyAlignment="1">
      <alignment horizontal="center" vertical="center"/>
    </xf>
    <xf numFmtId="176" fontId="6" fillId="4" borderId="130" xfId="0" applyNumberFormat="1" applyFont="1" applyFill="1" applyBorder="1" applyAlignment="1">
      <alignment vertical="center"/>
    </xf>
    <xf numFmtId="176" fontId="6" fillId="4" borderId="132" xfId="0" applyNumberFormat="1" applyFont="1" applyFill="1" applyBorder="1" applyAlignment="1">
      <alignment vertical="center"/>
    </xf>
    <xf numFmtId="0" fontId="6" fillId="8" borderId="73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6" xfId="0" applyFont="1" applyFill="1" applyBorder="1" applyAlignment="1" applyProtection="1">
      <alignment horizontal="center" vertical="center"/>
      <protection locked="0"/>
    </xf>
    <xf numFmtId="0" fontId="6" fillId="8" borderId="37" xfId="0" applyFont="1" applyFill="1" applyBorder="1" applyAlignment="1" applyProtection="1">
      <alignment horizontal="center" vertical="center"/>
      <protection locked="0"/>
    </xf>
    <xf numFmtId="0" fontId="6" fillId="4" borderId="71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51" xfId="0" applyFont="1" applyFill="1" applyBorder="1" applyAlignment="1" applyProtection="1">
      <alignment horizontal="center" vertical="center"/>
      <protection locked="0"/>
    </xf>
    <xf numFmtId="0" fontId="6" fillId="4" borderId="71" xfId="0" quotePrefix="1" applyFont="1" applyFill="1" applyBorder="1" applyAlignment="1" applyProtection="1">
      <alignment horizontal="center" vertical="center"/>
      <protection locked="0"/>
    </xf>
    <xf numFmtId="0" fontId="6" fillId="4" borderId="28" xfId="0" quotePrefix="1" applyFont="1" applyFill="1" applyBorder="1" applyAlignment="1" applyProtection="1">
      <alignment horizontal="center" vertical="center"/>
      <protection locked="0"/>
    </xf>
    <xf numFmtId="0" fontId="6" fillId="4" borderId="37" xfId="0" quotePrefix="1" applyFont="1" applyFill="1" applyBorder="1" applyAlignment="1" applyProtection="1">
      <alignment horizontal="center" vertical="center"/>
      <protection locked="0"/>
    </xf>
    <xf numFmtId="0" fontId="5" fillId="2" borderId="83" xfId="0" applyFont="1" applyFill="1" applyBorder="1" applyAlignment="1" applyProtection="1">
      <alignment horizontal="center" vertical="center"/>
      <protection locked="0"/>
    </xf>
    <xf numFmtId="0" fontId="6" fillId="8" borderId="7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9" xfId="0" applyFont="1" applyFill="1" applyBorder="1" applyAlignment="1" applyProtection="1">
      <alignment horizontal="center" vertical="center"/>
      <protection locked="0"/>
    </xf>
    <xf numFmtId="0" fontId="6" fillId="4" borderId="5" xfId="0" quotePrefix="1" applyFont="1" applyFill="1" applyBorder="1" applyAlignment="1" applyProtection="1">
      <alignment horizontal="center" vertical="center"/>
      <protection locked="0"/>
    </xf>
    <xf numFmtId="0" fontId="6" fillId="4" borderId="70" xfId="0" quotePrefix="1" applyFont="1" applyFill="1" applyBorder="1" applyAlignment="1" applyProtection="1">
      <alignment horizontal="center" vertical="center"/>
      <protection locked="0"/>
    </xf>
    <xf numFmtId="0" fontId="6" fillId="4" borderId="69" xfId="0" quotePrefix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8" fillId="2" borderId="110" xfId="0" applyFont="1" applyFill="1" applyBorder="1" applyAlignment="1">
      <alignment horizontal="left" vertical="center" wrapText="1"/>
    </xf>
    <xf numFmtId="0" fontId="8" fillId="2" borderId="1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176" fontId="9" fillId="8" borderId="5" xfId="0" applyNumberFormat="1" applyFont="1" applyFill="1" applyBorder="1" applyAlignment="1">
      <alignment horizontal="right" vertical="center" indent="3"/>
    </xf>
    <xf numFmtId="176" fontId="9" fillId="8" borderId="7" xfId="0" applyNumberFormat="1" applyFont="1" applyFill="1" applyBorder="1" applyAlignment="1">
      <alignment horizontal="right" vertical="center" indent="3"/>
    </xf>
    <xf numFmtId="176" fontId="9" fillId="8" borderId="4" xfId="0" applyNumberFormat="1" applyFont="1" applyFill="1" applyBorder="1" applyAlignment="1">
      <alignment horizontal="right" vertical="center" indent="3"/>
    </xf>
    <xf numFmtId="176" fontId="7" fillId="3" borderId="30" xfId="0" applyNumberFormat="1" applyFont="1" applyFill="1" applyBorder="1" applyAlignment="1">
      <alignment horizontal="center" vertical="center"/>
    </xf>
    <xf numFmtId="176" fontId="7" fillId="3" borderId="19" xfId="0" applyNumberFormat="1" applyFont="1" applyFill="1" applyBorder="1" applyAlignment="1">
      <alignment horizontal="center" vertical="center"/>
    </xf>
    <xf numFmtId="176" fontId="7" fillId="3" borderId="38" xfId="0" applyNumberFormat="1" applyFont="1" applyFill="1" applyBorder="1" applyAlignment="1">
      <alignment horizontal="center" vertical="center"/>
    </xf>
    <xf numFmtId="0" fontId="6" fillId="8" borderId="67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7" fillId="8" borderId="82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177" fontId="12" fillId="8" borderId="48" xfId="0" applyNumberFormat="1" applyFont="1" applyFill="1" applyBorder="1" applyAlignment="1">
      <alignment horizontal="center" vertical="center"/>
    </xf>
    <xf numFmtId="177" fontId="12" fillId="8" borderId="89" xfId="0" applyNumberFormat="1" applyFont="1" applyFill="1" applyBorder="1" applyAlignment="1">
      <alignment horizontal="center" vertical="center"/>
    </xf>
    <xf numFmtId="176" fontId="8" fillId="8" borderId="29" xfId="0" applyNumberFormat="1" applyFont="1" applyFill="1" applyBorder="1" applyAlignment="1">
      <alignment horizontal="center" vertical="center"/>
    </xf>
    <xf numFmtId="176" fontId="8" fillId="8" borderId="20" xfId="0" applyNumberFormat="1" applyFont="1" applyFill="1" applyBorder="1" applyAlignment="1">
      <alignment horizontal="center" vertical="center"/>
    </xf>
    <xf numFmtId="181" fontId="12" fillId="8" borderId="49" xfId="0" applyNumberFormat="1" applyFont="1" applyFill="1" applyBorder="1" applyAlignment="1">
      <alignment horizontal="center" vertical="center"/>
    </xf>
    <xf numFmtId="181" fontId="12" fillId="8" borderId="33" xfId="0" applyNumberFormat="1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 wrapText="1"/>
    </xf>
    <xf numFmtId="0" fontId="6" fillId="8" borderId="7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176" fontId="9" fillId="8" borderId="60" xfId="0" applyNumberFormat="1" applyFont="1" applyFill="1" applyBorder="1" applyAlignment="1">
      <alignment horizontal="right" vertical="center" indent="3"/>
    </xf>
    <xf numFmtId="176" fontId="9" fillId="8" borderId="21" xfId="0" applyNumberFormat="1" applyFont="1" applyFill="1" applyBorder="1" applyAlignment="1">
      <alignment horizontal="right" vertical="center" indent="3"/>
    </xf>
    <xf numFmtId="176" fontId="9" fillId="8" borderId="35" xfId="0" applyNumberFormat="1" applyFont="1" applyFill="1" applyBorder="1" applyAlignment="1">
      <alignment horizontal="right" vertical="center" indent="3"/>
    </xf>
    <xf numFmtId="176" fontId="6" fillId="8" borderId="113" xfId="0" applyNumberFormat="1" applyFont="1" applyFill="1" applyBorder="1" applyAlignment="1">
      <alignment horizontal="center" vertical="center" wrapText="1"/>
    </xf>
    <xf numFmtId="176" fontId="6" fillId="8" borderId="114" xfId="0" applyNumberFormat="1" applyFont="1" applyFill="1" applyBorder="1" applyAlignment="1">
      <alignment horizontal="center" vertical="center"/>
    </xf>
    <xf numFmtId="176" fontId="6" fillId="8" borderId="97" xfId="0" applyNumberFormat="1" applyFont="1" applyFill="1" applyBorder="1" applyAlignment="1">
      <alignment horizontal="center" vertical="center"/>
    </xf>
    <xf numFmtId="176" fontId="6" fillId="8" borderId="45" xfId="0" applyNumberFormat="1" applyFont="1" applyFill="1" applyBorder="1" applyAlignment="1">
      <alignment horizontal="center" vertical="center"/>
    </xf>
    <xf numFmtId="176" fontId="12" fillId="8" borderId="116" xfId="0" applyNumberFormat="1" applyFont="1" applyFill="1" applyBorder="1" applyAlignment="1">
      <alignment horizontal="center" vertical="center"/>
    </xf>
    <xf numFmtId="176" fontId="12" fillId="8" borderId="117" xfId="0" applyNumberFormat="1" applyFont="1" applyFill="1" applyBorder="1" applyAlignment="1">
      <alignment horizontal="center" vertical="center"/>
    </xf>
    <xf numFmtId="176" fontId="12" fillId="8" borderId="92" xfId="0" applyNumberFormat="1" applyFont="1" applyFill="1" applyBorder="1" applyAlignment="1">
      <alignment horizontal="center" vertical="center"/>
    </xf>
    <xf numFmtId="176" fontId="12" fillId="8" borderId="81" xfId="0" applyNumberFormat="1" applyFont="1" applyFill="1" applyBorder="1" applyAlignment="1">
      <alignment horizontal="center" vertical="center"/>
    </xf>
    <xf numFmtId="176" fontId="7" fillId="8" borderId="47" xfId="0" applyNumberFormat="1" applyFont="1" applyFill="1" applyBorder="1" applyAlignment="1">
      <alignment horizontal="center" vertical="center"/>
    </xf>
    <xf numFmtId="176" fontId="7" fillId="8" borderId="80" xfId="0" applyNumberFormat="1" applyFont="1" applyFill="1" applyBorder="1" applyAlignment="1">
      <alignment horizontal="center" vertical="center"/>
    </xf>
    <xf numFmtId="176" fontId="7" fillId="8" borderId="32" xfId="0" applyNumberFormat="1" applyFont="1" applyFill="1" applyBorder="1" applyAlignment="1">
      <alignment horizontal="center" vertical="center"/>
    </xf>
    <xf numFmtId="176" fontId="15" fillId="8" borderId="39" xfId="0" applyNumberFormat="1" applyFont="1" applyFill="1" applyBorder="1" applyAlignment="1">
      <alignment horizontal="center" vertical="center"/>
    </xf>
    <xf numFmtId="176" fontId="15" fillId="8" borderId="60" xfId="0" applyNumberFormat="1" applyFont="1" applyFill="1" applyBorder="1" applyAlignment="1">
      <alignment horizontal="center" vertical="center"/>
    </xf>
    <xf numFmtId="176" fontId="15" fillId="8" borderId="48" xfId="0" applyNumberFormat="1" applyFont="1" applyFill="1" applyBorder="1" applyAlignment="1">
      <alignment horizontal="center" vertical="center" wrapText="1"/>
    </xf>
    <xf numFmtId="176" fontId="15" fillId="8" borderId="94" xfId="0" applyNumberFormat="1" applyFont="1" applyFill="1" applyBorder="1" applyAlignment="1">
      <alignment horizontal="center" vertical="center" wrapText="1"/>
    </xf>
    <xf numFmtId="176" fontId="15" fillId="8" borderId="90" xfId="0" applyNumberFormat="1" applyFont="1" applyFill="1" applyBorder="1" applyAlignment="1">
      <alignment horizontal="center" vertical="center" wrapText="1"/>
    </xf>
    <xf numFmtId="176" fontId="15" fillId="8" borderId="96" xfId="0" applyNumberFormat="1" applyFont="1" applyFill="1" applyBorder="1" applyAlignment="1">
      <alignment horizontal="center" vertical="center" wrapText="1"/>
    </xf>
    <xf numFmtId="176" fontId="15" fillId="8" borderId="92" xfId="0" applyNumberFormat="1" applyFont="1" applyFill="1" applyBorder="1" applyAlignment="1">
      <alignment horizontal="center" vertical="center" wrapText="1"/>
    </xf>
    <xf numFmtId="176" fontId="15" fillId="8" borderId="45" xfId="0" applyNumberFormat="1" applyFont="1" applyFill="1" applyBorder="1" applyAlignment="1">
      <alignment horizontal="center" vertical="center" wrapText="1"/>
    </xf>
    <xf numFmtId="176" fontId="6" fillId="8" borderId="47" xfId="0" applyNumberFormat="1" applyFont="1" applyFill="1" applyBorder="1" applyAlignment="1">
      <alignment horizontal="center" vertical="center" wrapText="1"/>
    </xf>
    <xf numFmtId="176" fontId="6" fillId="8" borderId="80" xfId="0" applyNumberFormat="1" applyFont="1" applyFill="1" applyBorder="1" applyAlignment="1">
      <alignment horizontal="center" vertical="center" wrapText="1"/>
    </xf>
    <xf numFmtId="176" fontId="6" fillId="8" borderId="32" xfId="0" applyNumberFormat="1" applyFont="1" applyFill="1" applyBorder="1" applyAlignment="1">
      <alignment horizontal="center" vertical="center" wrapText="1"/>
    </xf>
    <xf numFmtId="181" fontId="12" fillId="8" borderId="48" xfId="0" applyNumberFormat="1" applyFont="1" applyFill="1" applyBorder="1" applyAlignment="1">
      <alignment horizontal="center" vertical="center"/>
    </xf>
    <xf numFmtId="181" fontId="12" fillId="8" borderId="89" xfId="0" applyNumberFormat="1" applyFont="1" applyFill="1" applyBorder="1" applyAlignment="1">
      <alignment horizontal="center" vertical="center"/>
    </xf>
    <xf numFmtId="181" fontId="12" fillId="8" borderId="90" xfId="0" applyNumberFormat="1" applyFont="1" applyFill="1" applyBorder="1" applyAlignment="1">
      <alignment horizontal="center" vertical="center"/>
    </xf>
    <xf numFmtId="181" fontId="12" fillId="8" borderId="91" xfId="0" applyNumberFormat="1" applyFont="1" applyFill="1" applyBorder="1" applyAlignment="1">
      <alignment horizontal="center" vertical="center"/>
    </xf>
    <xf numFmtId="181" fontId="12" fillId="8" borderId="92" xfId="0" applyNumberFormat="1" applyFont="1" applyFill="1" applyBorder="1" applyAlignment="1">
      <alignment horizontal="center" vertical="center"/>
    </xf>
    <xf numFmtId="181" fontId="12" fillId="8" borderId="81" xfId="0" applyNumberFormat="1" applyFont="1" applyFill="1" applyBorder="1" applyAlignment="1">
      <alignment horizontal="center" vertical="center"/>
    </xf>
    <xf numFmtId="0" fontId="7" fillId="6" borderId="88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79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2" fillId="8" borderId="57" xfId="0" applyFont="1" applyFill="1" applyBorder="1" applyAlignment="1">
      <alignment horizontal="center" vertical="center" wrapText="1"/>
    </xf>
    <xf numFmtId="0" fontId="12" fillId="8" borderId="92" xfId="0" applyFont="1" applyFill="1" applyBorder="1" applyAlignment="1">
      <alignment horizontal="center" vertical="center" wrapText="1"/>
    </xf>
    <xf numFmtId="0" fontId="12" fillId="8" borderId="126" xfId="0" applyFont="1" applyFill="1" applyBorder="1" applyAlignment="1">
      <alignment horizontal="center" vertical="center" wrapText="1"/>
    </xf>
    <xf numFmtId="176" fontId="12" fillId="8" borderId="21" xfId="0" applyNumberFormat="1" applyFont="1" applyFill="1" applyBorder="1" applyAlignment="1">
      <alignment horizontal="center" vertical="center"/>
    </xf>
    <xf numFmtId="176" fontId="12" fillId="8" borderId="35" xfId="0" applyNumberFormat="1" applyFont="1" applyFill="1" applyBorder="1" applyAlignment="1">
      <alignment horizontal="center" vertical="center"/>
    </xf>
    <xf numFmtId="0" fontId="12" fillId="8" borderId="42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176" fontId="12" fillId="8" borderId="31" xfId="0" applyNumberFormat="1" applyFont="1" applyFill="1" applyBorder="1" applyAlignment="1">
      <alignment horizontal="center" vertical="center" wrapText="1"/>
    </xf>
    <xf numFmtId="176" fontId="12" fillId="8" borderId="79" xfId="0" applyNumberFormat="1" applyFont="1" applyFill="1" applyBorder="1" applyAlignment="1">
      <alignment horizontal="center" vertical="center" wrapText="1"/>
    </xf>
    <xf numFmtId="176" fontId="12" fillId="8" borderId="20" xfId="0" applyNumberFormat="1" applyFont="1" applyFill="1" applyBorder="1" applyAlignment="1">
      <alignment horizontal="center" vertical="center" wrapText="1"/>
    </xf>
    <xf numFmtId="176" fontId="17" fillId="8" borderId="39" xfId="0" applyNumberFormat="1" applyFont="1" applyFill="1" applyBorder="1" applyAlignment="1">
      <alignment horizontal="center" vertical="center"/>
    </xf>
    <xf numFmtId="176" fontId="17" fillId="8" borderId="45" xfId="0" applyNumberFormat="1" applyFont="1" applyFill="1" applyBorder="1" applyAlignment="1">
      <alignment horizontal="center" vertical="center"/>
    </xf>
    <xf numFmtId="176" fontId="12" fillId="8" borderId="20" xfId="0" applyNumberFormat="1" applyFont="1" applyFill="1" applyBorder="1" applyAlignment="1">
      <alignment horizontal="center" vertical="center"/>
    </xf>
    <xf numFmtId="176" fontId="12" fillId="8" borderId="78" xfId="0" applyNumberFormat="1" applyFont="1" applyFill="1" applyBorder="1" applyAlignment="1">
      <alignment horizontal="center" vertical="center"/>
    </xf>
    <xf numFmtId="0" fontId="14" fillId="8" borderId="7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176" fontId="12" fillId="8" borderId="85" xfId="0" quotePrefix="1" applyNumberFormat="1" applyFont="1" applyFill="1" applyBorder="1" applyAlignment="1">
      <alignment horizontal="left" vertical="center" wrapText="1"/>
    </xf>
    <xf numFmtId="176" fontId="12" fillId="8" borderId="86" xfId="0" quotePrefix="1" applyNumberFormat="1" applyFont="1" applyFill="1" applyBorder="1" applyAlignment="1">
      <alignment horizontal="left" vertical="center" wrapText="1"/>
    </xf>
    <xf numFmtId="176" fontId="12" fillId="8" borderId="118" xfId="0" quotePrefix="1" applyNumberFormat="1" applyFont="1" applyFill="1" applyBorder="1" applyAlignment="1">
      <alignment horizontal="left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12" fillId="8" borderId="44" xfId="0" applyFont="1" applyFill="1" applyBorder="1" applyAlignment="1">
      <alignment horizontal="center" vertical="center" wrapText="1"/>
    </xf>
    <xf numFmtId="0" fontId="12" fillId="8" borderId="58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183" fontId="12" fillId="8" borderId="44" xfId="0" applyNumberFormat="1" applyFont="1" applyFill="1" applyBorder="1" applyAlignment="1">
      <alignment horizontal="center" vertical="center" wrapText="1"/>
    </xf>
    <xf numFmtId="183" fontId="12" fillId="8" borderId="58" xfId="0" applyNumberFormat="1" applyFont="1" applyFill="1" applyBorder="1" applyAlignment="1">
      <alignment horizontal="center" vertical="center" wrapText="1"/>
    </xf>
    <xf numFmtId="176" fontId="7" fillId="8" borderId="47" xfId="0" applyNumberFormat="1" applyFont="1" applyFill="1" applyBorder="1" applyAlignment="1">
      <alignment horizontal="center" vertical="center" wrapText="1"/>
    </xf>
    <xf numFmtId="176" fontId="7" fillId="8" borderId="80" xfId="0" applyNumberFormat="1" applyFont="1" applyFill="1" applyBorder="1" applyAlignment="1">
      <alignment horizontal="center" vertical="center" wrapText="1"/>
    </xf>
    <xf numFmtId="176" fontId="7" fillId="8" borderId="32" xfId="0" applyNumberFormat="1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183" fontId="12" fillId="8" borderId="74" xfId="0" applyNumberFormat="1" applyFont="1" applyFill="1" applyBorder="1" applyAlignment="1">
      <alignment horizontal="center" vertical="center" wrapText="1"/>
    </xf>
    <xf numFmtId="183" fontId="12" fillId="8" borderId="120" xfId="0" applyNumberFormat="1" applyFont="1" applyFill="1" applyBorder="1" applyAlignment="1">
      <alignment horizontal="center" vertical="center" wrapText="1"/>
    </xf>
    <xf numFmtId="176" fontId="8" fillId="8" borderId="41" xfId="0" applyNumberFormat="1" applyFont="1" applyFill="1" applyBorder="1" applyAlignment="1">
      <alignment horizontal="center" vertical="center"/>
    </xf>
    <xf numFmtId="176" fontId="8" fillId="8" borderId="54" xfId="0" applyNumberFormat="1" applyFont="1" applyFill="1" applyBorder="1" applyAlignment="1">
      <alignment horizontal="center" vertical="center"/>
    </xf>
    <xf numFmtId="176" fontId="8" fillId="8" borderId="24" xfId="0" applyNumberFormat="1" applyFont="1" applyFill="1" applyBorder="1" applyAlignment="1">
      <alignment horizontal="center" vertical="center"/>
    </xf>
    <xf numFmtId="176" fontId="12" fillId="8" borderId="41" xfId="0" applyNumberFormat="1" applyFont="1" applyFill="1" applyBorder="1" applyAlignment="1">
      <alignment horizontal="center" vertical="center"/>
    </xf>
    <xf numFmtId="176" fontId="12" fillId="8" borderId="24" xfId="0" applyNumberFormat="1" applyFont="1" applyFill="1" applyBorder="1" applyAlignment="1">
      <alignment horizontal="center" vertical="center"/>
    </xf>
    <xf numFmtId="176" fontId="6" fillId="8" borderId="47" xfId="0" applyNumberFormat="1" applyFont="1" applyFill="1" applyBorder="1" applyAlignment="1" applyProtection="1">
      <alignment horizontal="center" vertical="center" wrapText="1"/>
    </xf>
    <xf numFmtId="176" fontId="6" fillId="8" borderId="80" xfId="0" applyNumberFormat="1" applyFont="1" applyFill="1" applyBorder="1" applyAlignment="1" applyProtection="1">
      <alignment horizontal="center" vertical="center" wrapText="1"/>
    </xf>
    <xf numFmtId="176" fontId="6" fillId="8" borderId="32" xfId="0" applyNumberFormat="1" applyFont="1" applyFill="1" applyBorder="1" applyAlignment="1" applyProtection="1">
      <alignment horizontal="center" vertical="center" wrapText="1"/>
    </xf>
    <xf numFmtId="183" fontId="12" fillId="8" borderId="55" xfId="0" applyNumberFormat="1" applyFont="1" applyFill="1" applyBorder="1" applyAlignment="1">
      <alignment horizontal="center" vertical="center" wrapText="1"/>
    </xf>
    <xf numFmtId="183" fontId="12" fillId="8" borderId="25" xfId="0" applyNumberFormat="1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176" fontId="8" fillId="8" borderId="55" xfId="0" applyNumberFormat="1" applyFont="1" applyFill="1" applyBorder="1" applyAlignment="1">
      <alignment horizontal="center" vertical="center"/>
    </xf>
    <xf numFmtId="176" fontId="8" fillId="8" borderId="25" xfId="0" applyNumberFormat="1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183" fontId="12" fillId="8" borderId="42" xfId="0" applyNumberFormat="1" applyFont="1" applyFill="1" applyBorder="1" applyAlignment="1">
      <alignment horizontal="center" vertical="center" wrapText="1"/>
    </xf>
    <xf numFmtId="183" fontId="12" fillId="8" borderId="87" xfId="0" applyNumberFormat="1" applyFont="1" applyFill="1" applyBorder="1" applyAlignment="1">
      <alignment horizontal="center" vertical="center" wrapText="1"/>
    </xf>
    <xf numFmtId="176" fontId="12" fillId="8" borderId="20" xfId="0" applyNumberFormat="1" applyFont="1" applyFill="1" applyBorder="1" applyAlignment="1">
      <alignment horizontal="left" vertical="center"/>
    </xf>
    <xf numFmtId="0" fontId="7" fillId="3" borderId="88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177" fontId="12" fillId="8" borderId="39" xfId="0" applyNumberFormat="1" applyFont="1" applyFill="1" applyBorder="1" applyAlignment="1">
      <alignment horizontal="center" vertical="center" wrapText="1"/>
    </xf>
    <xf numFmtId="177" fontId="12" fillId="8" borderId="84" xfId="0" applyNumberFormat="1" applyFont="1" applyFill="1" applyBorder="1" applyAlignment="1">
      <alignment horizontal="center" vertical="center" wrapText="1"/>
    </xf>
    <xf numFmtId="176" fontId="9" fillId="8" borderId="39" xfId="0" applyNumberFormat="1" applyFont="1" applyFill="1" applyBorder="1" applyAlignment="1" applyProtection="1">
      <alignment horizontal="right" vertical="center" indent="3"/>
      <protection locked="0"/>
    </xf>
    <xf numFmtId="176" fontId="9" fillId="8" borderId="50" xfId="0" applyNumberFormat="1" applyFont="1" applyFill="1" applyBorder="1" applyAlignment="1" applyProtection="1">
      <alignment horizontal="right" vertical="center" indent="3"/>
      <protection locked="0"/>
    </xf>
    <xf numFmtId="176" fontId="9" fillId="8" borderId="27" xfId="0" applyNumberFormat="1" applyFont="1" applyFill="1" applyBorder="1" applyAlignment="1" applyProtection="1">
      <alignment horizontal="right" vertical="center" indent="3"/>
      <protection locked="0"/>
    </xf>
    <xf numFmtId="0" fontId="7" fillId="3" borderId="88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176" fontId="9" fillId="8" borderId="50" xfId="0" applyNumberFormat="1" applyFont="1" applyFill="1" applyBorder="1" applyAlignment="1">
      <alignment horizontal="right" vertical="center" indent="3"/>
    </xf>
    <xf numFmtId="176" fontId="9" fillId="8" borderId="27" xfId="0" applyNumberFormat="1" applyFont="1" applyFill="1" applyBorder="1" applyAlignment="1">
      <alignment horizontal="right" vertical="center" indent="3"/>
    </xf>
    <xf numFmtId="0" fontId="10" fillId="3" borderId="88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176" fontId="11" fillId="8" borderId="50" xfId="0" applyNumberFormat="1" applyFont="1" applyFill="1" applyBorder="1" applyAlignment="1">
      <alignment horizontal="right" vertical="center" indent="3"/>
    </xf>
    <xf numFmtId="176" fontId="11" fillId="8" borderId="27" xfId="0" applyNumberFormat="1" applyFont="1" applyFill="1" applyBorder="1" applyAlignment="1">
      <alignment horizontal="right" vertical="center" indent="3"/>
    </xf>
    <xf numFmtId="0" fontId="7" fillId="3" borderId="93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176" fontId="12" fillId="8" borderId="44" xfId="0" applyNumberFormat="1" applyFont="1" applyFill="1" applyBorder="1" applyAlignment="1">
      <alignment horizontal="center" vertical="center"/>
    </xf>
    <xf numFmtId="176" fontId="12" fillId="8" borderId="25" xfId="0" applyNumberFormat="1" applyFont="1" applyFill="1" applyBorder="1" applyAlignment="1">
      <alignment horizontal="center" vertical="center"/>
    </xf>
    <xf numFmtId="176" fontId="16" fillId="8" borderId="39" xfId="0" applyNumberFormat="1" applyFont="1" applyFill="1" applyBorder="1" applyAlignment="1">
      <alignment horizontal="center" vertical="center"/>
    </xf>
    <xf numFmtId="176" fontId="16" fillId="8" borderId="27" xfId="0" applyNumberFormat="1" applyFont="1" applyFill="1" applyBorder="1" applyAlignment="1">
      <alignment horizontal="center" vertical="center"/>
    </xf>
    <xf numFmtId="176" fontId="8" fillId="8" borderId="74" xfId="0" applyNumberFormat="1" applyFont="1" applyFill="1" applyBorder="1" applyAlignment="1">
      <alignment horizontal="right" vertical="center"/>
    </xf>
    <xf numFmtId="176" fontId="8" fillId="8" borderId="75" xfId="0" applyNumberFormat="1" applyFont="1" applyFill="1" applyBorder="1" applyAlignment="1">
      <alignment horizontal="right" vertical="center"/>
    </xf>
    <xf numFmtId="176" fontId="12" fillId="8" borderId="39" xfId="0" applyNumberFormat="1" applyFont="1" applyFill="1" applyBorder="1" applyAlignment="1">
      <alignment horizontal="center" vertical="center"/>
    </xf>
    <xf numFmtId="176" fontId="12" fillId="8" borderId="27" xfId="0" applyNumberFormat="1" applyFont="1" applyFill="1" applyBorder="1" applyAlignment="1">
      <alignment horizontal="center" vertical="center"/>
    </xf>
    <xf numFmtId="176" fontId="8" fillId="8" borderId="44" xfId="0" applyNumberFormat="1" applyFont="1" applyFill="1" applyBorder="1" applyAlignment="1">
      <alignment horizontal="center" vertical="center"/>
    </xf>
    <xf numFmtId="0" fontId="18" fillId="8" borderId="76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176" fontId="16" fillId="8" borderId="122" xfId="0" applyNumberFormat="1" applyFont="1" applyFill="1" applyBorder="1" applyAlignment="1">
      <alignment horizontal="right" vertical="center"/>
    </xf>
    <xf numFmtId="176" fontId="16" fillId="8" borderId="102" xfId="0" applyNumberFormat="1" applyFont="1" applyFill="1" applyBorder="1" applyAlignment="1">
      <alignment horizontal="right" vertical="center"/>
    </xf>
    <xf numFmtId="176" fontId="12" fillId="8" borderId="55" xfId="0" applyNumberFormat="1" applyFont="1" applyFill="1" applyBorder="1" applyAlignment="1">
      <alignment horizontal="center" vertical="center"/>
    </xf>
    <xf numFmtId="0" fontId="14" fillId="8" borderId="25" xfId="0" applyFont="1" applyFill="1" applyBorder="1">
      <alignment vertical="center"/>
    </xf>
    <xf numFmtId="176" fontId="8" fillId="8" borderId="23" xfId="0" applyNumberFormat="1" applyFont="1" applyFill="1" applyBorder="1" applyAlignment="1">
      <alignment horizontal="left" vertical="center"/>
    </xf>
    <xf numFmtId="176" fontId="12" fillId="8" borderId="23" xfId="0" applyNumberFormat="1" applyFont="1" applyFill="1" applyBorder="1" applyAlignment="1">
      <alignment horizontal="center" vertical="center"/>
    </xf>
    <xf numFmtId="176" fontId="6" fillId="8" borderId="39" xfId="0" applyNumberFormat="1" applyFont="1" applyFill="1" applyBorder="1" applyAlignment="1">
      <alignment horizontal="left" vertical="center" wrapText="1"/>
    </xf>
    <xf numFmtId="176" fontId="6" fillId="8" borderId="60" xfId="0" applyNumberFormat="1" applyFont="1" applyFill="1" applyBorder="1" applyAlignment="1">
      <alignment horizontal="left" vertical="center" wrapText="1"/>
    </xf>
    <xf numFmtId="176" fontId="8" fillId="8" borderId="42" xfId="0" applyNumberFormat="1" applyFont="1" applyFill="1" applyBorder="1" applyAlignment="1">
      <alignment horizontal="center" vertical="center"/>
    </xf>
    <xf numFmtId="176" fontId="8" fillId="8" borderId="56" xfId="0" applyNumberFormat="1" applyFont="1" applyFill="1" applyBorder="1" applyAlignment="1">
      <alignment horizontal="center" vertical="center"/>
    </xf>
    <xf numFmtId="176" fontId="8" fillId="8" borderId="26" xfId="0" applyNumberFormat="1" applyFont="1" applyFill="1" applyBorder="1" applyAlignment="1">
      <alignment horizontal="center" vertical="center"/>
    </xf>
    <xf numFmtId="176" fontId="8" fillId="8" borderId="1" xfId="0" applyNumberFormat="1" applyFont="1" applyFill="1" applyBorder="1" applyAlignment="1">
      <alignment horizontal="left" vertical="center"/>
    </xf>
    <xf numFmtId="177" fontId="9" fillId="7" borderId="69" xfId="0" applyNumberFormat="1" applyFont="1" applyFill="1" applyBorder="1" applyAlignment="1">
      <alignment horizontal="center" vertical="center"/>
    </xf>
    <xf numFmtId="177" fontId="9" fillId="7" borderId="70" xfId="0" applyNumberFormat="1" applyFont="1" applyFill="1" applyBorder="1" applyAlignment="1">
      <alignment horizontal="center" vertical="center"/>
    </xf>
    <xf numFmtId="177" fontId="9" fillId="7" borderId="5" xfId="0" applyNumberFormat="1" applyFont="1" applyFill="1" applyBorder="1" applyAlignment="1">
      <alignment horizontal="center" vertical="center"/>
    </xf>
    <xf numFmtId="177" fontId="9" fillId="7" borderId="124" xfId="0" applyNumberFormat="1" applyFont="1" applyFill="1" applyBorder="1" applyAlignment="1">
      <alignment horizontal="center" vertical="center"/>
    </xf>
    <xf numFmtId="177" fontId="9" fillId="7" borderId="18" xfId="0" applyNumberFormat="1" applyFont="1" applyFill="1" applyBorder="1" applyAlignment="1">
      <alignment horizontal="center" vertical="center"/>
    </xf>
    <xf numFmtId="0" fontId="9" fillId="7" borderId="104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7" borderId="71" xfId="0" applyFont="1" applyFill="1" applyBorder="1" applyAlignment="1">
      <alignment horizontal="center" vertical="center"/>
    </xf>
    <xf numFmtId="177" fontId="9" fillId="7" borderId="40" xfId="0" applyNumberFormat="1" applyFont="1" applyFill="1" applyBorder="1" applyAlignment="1">
      <alignment horizontal="center" vertical="center"/>
    </xf>
    <xf numFmtId="177" fontId="9" fillId="7" borderId="51" xfId="0" applyNumberFormat="1" applyFont="1" applyFill="1" applyBorder="1" applyAlignment="1">
      <alignment horizontal="center" vertical="center"/>
    </xf>
    <xf numFmtId="177" fontId="9" fillId="7" borderId="71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7" fillId="3" borderId="121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76" fontId="6" fillId="8" borderId="41" xfId="0" applyNumberFormat="1" applyFont="1" applyFill="1" applyBorder="1" applyAlignment="1">
      <alignment horizontal="center" vertical="center"/>
    </xf>
    <xf numFmtId="176" fontId="6" fillId="8" borderId="57" xfId="0" applyNumberFormat="1" applyFont="1" applyFill="1" applyBorder="1" applyAlignment="1">
      <alignment horizontal="center" vertical="center"/>
    </xf>
    <xf numFmtId="176" fontId="8" fillId="8" borderId="2" xfId="0" applyNumberFormat="1" applyFont="1" applyFill="1" applyBorder="1" applyAlignment="1">
      <alignment horizontal="left" vertical="center"/>
    </xf>
    <xf numFmtId="176" fontId="8" fillId="8" borderId="44" xfId="0" applyNumberFormat="1" applyFont="1" applyFill="1" applyBorder="1" applyAlignment="1">
      <alignment horizontal="center" vertical="center" wrapText="1"/>
    </xf>
    <xf numFmtId="176" fontId="8" fillId="8" borderId="12" xfId="0" applyNumberFormat="1" applyFont="1" applyFill="1" applyBorder="1" applyAlignment="1">
      <alignment horizontal="center" vertical="center" wrapText="1"/>
    </xf>
    <xf numFmtId="176" fontId="8" fillId="8" borderId="44" xfId="0" applyNumberFormat="1" applyFont="1" applyFill="1" applyBorder="1" applyAlignment="1">
      <alignment horizontal="left" vertical="center"/>
    </xf>
    <xf numFmtId="176" fontId="8" fillId="8" borderId="12" xfId="0" applyNumberFormat="1" applyFont="1" applyFill="1" applyBorder="1" applyAlignment="1">
      <alignment horizontal="left" vertical="center"/>
    </xf>
    <xf numFmtId="0" fontId="6" fillId="8" borderId="42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center" vertical="center" wrapText="1"/>
    </xf>
    <xf numFmtId="176" fontId="8" fillId="8" borderId="43" xfId="0" applyNumberFormat="1" applyFont="1" applyFill="1" applyBorder="1" applyAlignment="1">
      <alignment horizontal="center" vertical="center"/>
    </xf>
    <xf numFmtId="176" fontId="7" fillId="8" borderId="47" xfId="0" applyNumberFormat="1" applyFont="1" applyFill="1" applyBorder="1" applyAlignment="1" applyProtection="1">
      <alignment horizontal="center" vertical="center" wrapText="1"/>
    </xf>
    <xf numFmtId="176" fontId="7" fillId="8" borderId="80" xfId="0" applyNumberFormat="1" applyFont="1" applyFill="1" applyBorder="1" applyAlignment="1" applyProtection="1">
      <alignment horizontal="center" vertical="center" wrapText="1"/>
    </xf>
    <xf numFmtId="176" fontId="7" fillId="8" borderId="32" xfId="0" applyNumberFormat="1" applyFont="1" applyFill="1" applyBorder="1" applyAlignment="1" applyProtection="1">
      <alignment horizontal="center" vertical="center" wrapText="1"/>
    </xf>
    <xf numFmtId="176" fontId="8" fillId="8" borderId="31" xfId="0" applyNumberFormat="1" applyFont="1" applyFill="1" applyBorder="1" applyAlignment="1">
      <alignment horizontal="center" vertical="center" wrapText="1"/>
    </xf>
    <xf numFmtId="176" fontId="8" fillId="8" borderId="79" xfId="0" applyNumberFormat="1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horizontal="center" vertical="center"/>
    </xf>
    <xf numFmtId="176" fontId="12" fillId="8" borderId="11" xfId="0" applyNumberFormat="1" applyFont="1" applyFill="1" applyBorder="1" applyAlignment="1">
      <alignment horizontal="center" vertical="center"/>
    </xf>
    <xf numFmtId="176" fontId="6" fillId="8" borderId="31" xfId="0" applyNumberFormat="1" applyFont="1" applyFill="1" applyBorder="1" applyAlignment="1">
      <alignment horizontal="center" vertical="center" wrapText="1"/>
    </xf>
    <xf numFmtId="176" fontId="6" fillId="8" borderId="79" xfId="0" applyNumberFormat="1" applyFont="1" applyFill="1" applyBorder="1" applyAlignment="1">
      <alignment horizontal="center" vertical="center" wrapText="1"/>
    </xf>
    <xf numFmtId="176" fontId="6" fillId="8" borderId="20" xfId="0" applyNumberFormat="1" applyFont="1" applyFill="1" applyBorder="1" applyAlignment="1">
      <alignment horizontal="center" vertical="center" wrapText="1"/>
    </xf>
    <xf numFmtId="0" fontId="9" fillId="5" borderId="97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6" fontId="8" fillId="8" borderId="39" xfId="0" applyNumberFormat="1" applyFont="1" applyFill="1" applyBorder="1" applyAlignment="1">
      <alignment horizontal="center" vertical="center"/>
    </xf>
    <xf numFmtId="176" fontId="8" fillId="8" borderId="60" xfId="0" applyNumberFormat="1" applyFont="1" applyFill="1" applyBorder="1" applyAlignment="1">
      <alignment horizontal="center" vertical="center"/>
    </xf>
    <xf numFmtId="0" fontId="14" fillId="8" borderId="60" xfId="0" applyFont="1" applyFill="1" applyBorder="1">
      <alignment vertical="center"/>
    </xf>
    <xf numFmtId="177" fontId="9" fillId="5" borderId="69" xfId="0" applyNumberFormat="1" applyFont="1" applyFill="1" applyBorder="1" applyAlignment="1">
      <alignment horizontal="center" vertical="center"/>
    </xf>
    <xf numFmtId="177" fontId="9" fillId="5" borderId="70" xfId="0" applyNumberFormat="1" applyFont="1" applyFill="1" applyBorder="1" applyAlignment="1">
      <alignment horizontal="center" vertical="center"/>
    </xf>
    <xf numFmtId="177" fontId="9" fillId="5" borderId="5" xfId="0" applyNumberFormat="1" applyFont="1" applyFill="1" applyBorder="1" applyAlignment="1">
      <alignment horizontal="center" vertical="center"/>
    </xf>
    <xf numFmtId="177" fontId="9" fillId="5" borderId="124" xfId="0" applyNumberFormat="1" applyFont="1" applyFill="1" applyBorder="1" applyAlignment="1">
      <alignment horizontal="center" vertical="center"/>
    </xf>
    <xf numFmtId="177" fontId="9" fillId="5" borderId="107" xfId="0" applyNumberFormat="1" applyFont="1" applyFill="1" applyBorder="1" applyAlignment="1">
      <alignment horizontal="center" vertical="center"/>
    </xf>
    <xf numFmtId="177" fontId="9" fillId="5" borderId="18" xfId="0" applyNumberFormat="1" applyFont="1" applyFill="1" applyBorder="1" applyAlignment="1">
      <alignment horizontal="center" vertical="center"/>
    </xf>
    <xf numFmtId="0" fontId="9" fillId="5" borderId="88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177" fontId="9" fillId="5" borderId="39" xfId="0" applyNumberFormat="1" applyFont="1" applyFill="1" applyBorder="1" applyAlignment="1">
      <alignment horizontal="center" vertical="center"/>
    </xf>
    <xf numFmtId="177" fontId="9" fillId="5" borderId="50" xfId="0" applyNumberFormat="1" applyFont="1" applyFill="1" applyBorder="1" applyAlignment="1">
      <alignment horizontal="center" vertical="center"/>
    </xf>
    <xf numFmtId="177" fontId="9" fillId="5" borderId="60" xfId="0" applyNumberFormat="1" applyFont="1" applyFill="1" applyBorder="1" applyAlignment="1">
      <alignment horizontal="center" vertical="center"/>
    </xf>
    <xf numFmtId="0" fontId="9" fillId="5" borderId="104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177" fontId="9" fillId="5" borderId="40" xfId="0" applyNumberFormat="1" applyFont="1" applyFill="1" applyBorder="1" applyAlignment="1">
      <alignment horizontal="center" vertical="center"/>
    </xf>
    <xf numFmtId="177" fontId="9" fillId="5" borderId="51" xfId="0" applyNumberFormat="1" applyFont="1" applyFill="1" applyBorder="1" applyAlignment="1">
      <alignment horizontal="center" vertical="center"/>
    </xf>
    <xf numFmtId="177" fontId="9" fillId="5" borderId="71" xfId="0" applyNumberFormat="1" applyFont="1" applyFill="1" applyBorder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  <xf numFmtId="176" fontId="19" fillId="8" borderId="39" xfId="0" applyNumberFormat="1" applyFont="1" applyFill="1" applyBorder="1" applyAlignment="1">
      <alignment horizontal="center" vertical="center"/>
    </xf>
    <xf numFmtId="176" fontId="19" fillId="8" borderId="60" xfId="0" applyNumberFormat="1" applyFont="1" applyFill="1" applyBorder="1" applyAlignment="1">
      <alignment horizontal="center" vertical="center"/>
    </xf>
    <xf numFmtId="176" fontId="7" fillId="8" borderId="34" xfId="0" applyNumberFormat="1" applyFont="1" applyFill="1" applyBorder="1" applyAlignment="1">
      <alignment horizontal="center" vertical="center"/>
    </xf>
    <xf numFmtId="176" fontId="7" fillId="8" borderId="21" xfId="0" applyNumberFormat="1" applyFont="1" applyFill="1" applyBorder="1" applyAlignment="1">
      <alignment horizontal="center" vertical="center"/>
    </xf>
    <xf numFmtId="176" fontId="6" fillId="8" borderId="98" xfId="0" applyNumberFormat="1" applyFont="1" applyFill="1" applyBorder="1" applyAlignment="1">
      <alignment horizontal="center" vertical="center"/>
    </xf>
    <xf numFmtId="176" fontId="6" fillId="8" borderId="99" xfId="0" applyNumberFormat="1" applyFont="1" applyFill="1" applyBorder="1" applyAlignment="1">
      <alignment horizontal="center" vertical="center"/>
    </xf>
    <xf numFmtId="176" fontId="6" fillId="8" borderId="100" xfId="0" applyNumberFormat="1" applyFont="1" applyFill="1" applyBorder="1" applyAlignment="1">
      <alignment horizontal="center" vertical="center"/>
    </xf>
    <xf numFmtId="176" fontId="6" fillId="8" borderId="101" xfId="0" applyNumberFormat="1" applyFont="1" applyFill="1" applyBorder="1" applyAlignment="1">
      <alignment horizontal="center" vertical="center"/>
    </xf>
    <xf numFmtId="176" fontId="7" fillId="8" borderId="36" xfId="0" applyNumberFormat="1" applyFont="1" applyFill="1" applyBorder="1" applyAlignment="1">
      <alignment horizontal="center" vertical="center"/>
    </xf>
    <xf numFmtId="176" fontId="7" fillId="8" borderId="28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0" fontId="9" fillId="7" borderId="123" xfId="0" applyFont="1" applyFill="1" applyBorder="1" applyAlignment="1">
      <alignment horizontal="center" vertical="center"/>
    </xf>
    <xf numFmtId="0" fontId="9" fillId="7" borderId="7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X103"/>
  <sheetViews>
    <sheetView tabSelected="1" topLeftCell="G18" workbookViewId="0">
      <selection activeCell="R60" sqref="R60"/>
    </sheetView>
  </sheetViews>
  <sheetFormatPr defaultColWidth="8.9140625" defaultRowHeight="13" x14ac:dyDescent="0.25"/>
  <cols>
    <col min="1" max="3" width="2.75" style="211" customWidth="1"/>
    <col min="4" max="4" width="15.1640625" style="211" customWidth="1"/>
    <col min="5" max="7" width="12.08203125" style="211" customWidth="1"/>
    <col min="8" max="8" width="14.58203125" style="211" customWidth="1"/>
    <col min="9" max="9" width="10" style="211" customWidth="1"/>
    <col min="10" max="10" width="9.4140625" style="211" customWidth="1"/>
    <col min="11" max="11" width="14.83203125" style="211" customWidth="1"/>
    <col min="12" max="12" width="14.4140625" style="211" customWidth="1"/>
    <col min="13" max="13" width="14.58203125" style="211" customWidth="1"/>
    <col min="14" max="14" width="12.83203125" style="211" customWidth="1"/>
    <col min="15" max="15" width="12" style="211" customWidth="1"/>
    <col min="16" max="16" width="13.08203125" style="211" customWidth="1"/>
    <col min="17" max="17" width="10.25" style="211" customWidth="1"/>
    <col min="18" max="18" width="10.83203125" style="211" bestFit="1" customWidth="1"/>
    <col min="19" max="19" width="11.25" style="211" hidden="1" customWidth="1"/>
    <col min="20" max="20" width="9.9140625" style="211" hidden="1" customWidth="1"/>
    <col min="21" max="21" width="8.9140625" style="211" hidden="1" customWidth="1"/>
    <col min="22" max="22" width="13.83203125" style="211" hidden="1" customWidth="1"/>
    <col min="23" max="23" width="12" style="211" hidden="1" customWidth="1"/>
    <col min="24" max="24" width="8.9140625" style="211" hidden="1" customWidth="1"/>
    <col min="25" max="16384" width="8.9140625" style="211"/>
  </cols>
  <sheetData>
    <row r="1" spans="2:17" ht="20.25" customHeight="1" thickBot="1" x14ac:dyDescent="0.3">
      <c r="B1" s="299" t="s">
        <v>232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2:17" ht="14" thickTop="1" thickBot="1" x14ac:dyDescent="0.3"/>
    <row r="3" spans="2:17" ht="13.5" customHeight="1" x14ac:dyDescent="0.25">
      <c r="B3" s="300" t="s">
        <v>20</v>
      </c>
      <c r="C3" s="301"/>
      <c r="D3" s="302"/>
      <c r="E3" s="303"/>
      <c r="F3" s="300" t="s">
        <v>21</v>
      </c>
      <c r="G3" s="301"/>
      <c r="H3" s="304"/>
      <c r="I3" s="305"/>
      <c r="J3" s="306"/>
      <c r="K3" s="68" t="s">
        <v>22</v>
      </c>
      <c r="L3" s="302"/>
      <c r="M3" s="307"/>
      <c r="N3" s="307"/>
      <c r="O3" s="307"/>
      <c r="P3" s="308"/>
    </row>
    <row r="4" spans="2:17" ht="13.5" customHeight="1" thickBot="1" x14ac:dyDescent="0.3">
      <c r="B4" s="291" t="s">
        <v>23</v>
      </c>
      <c r="C4" s="292"/>
      <c r="D4" s="293"/>
      <c r="E4" s="294"/>
      <c r="F4" s="291" t="s">
        <v>24</v>
      </c>
      <c r="G4" s="292"/>
      <c r="H4" s="293"/>
      <c r="I4" s="295"/>
      <c r="J4" s="294"/>
      <c r="K4" s="69" t="s">
        <v>25</v>
      </c>
      <c r="L4" s="296" t="s">
        <v>233</v>
      </c>
      <c r="M4" s="297"/>
      <c r="N4" s="297"/>
      <c r="O4" s="297"/>
      <c r="P4" s="298"/>
    </row>
    <row r="5" spans="2:17" ht="6.75" customHeight="1" x14ac:dyDescent="0.25"/>
    <row r="6" spans="2:17" ht="18" customHeight="1" thickBot="1" x14ac:dyDescent="0.3">
      <c r="B6" s="299" t="s">
        <v>259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2:17" ht="5.25" customHeight="1" thickTop="1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7" ht="15" customHeight="1" x14ac:dyDescent="0.25">
      <c r="B8" s="285" t="s">
        <v>87</v>
      </c>
      <c r="C8" s="286"/>
      <c r="D8" s="228" t="s">
        <v>88</v>
      </c>
      <c r="E8" s="228" t="s">
        <v>89</v>
      </c>
      <c r="F8" s="228" t="s">
        <v>90</v>
      </c>
      <c r="G8" s="70" t="s">
        <v>91</v>
      </c>
      <c r="H8" s="71" t="s">
        <v>92</v>
      </c>
      <c r="I8" s="72" t="s">
        <v>93</v>
      </c>
      <c r="J8" s="228" t="s">
        <v>94</v>
      </c>
      <c r="K8" s="228" t="s">
        <v>95</v>
      </c>
      <c r="L8" s="228" t="s">
        <v>96</v>
      </c>
      <c r="M8" s="228" t="s">
        <v>97</v>
      </c>
      <c r="N8" s="228" t="s">
        <v>98</v>
      </c>
      <c r="O8" s="228" t="s">
        <v>99</v>
      </c>
      <c r="P8" s="70" t="s">
        <v>100</v>
      </c>
    </row>
    <row r="9" spans="2:17" ht="14.5" customHeight="1" x14ac:dyDescent="0.25">
      <c r="B9" s="287" t="s">
        <v>101</v>
      </c>
      <c r="C9" s="288"/>
      <c r="D9" s="30"/>
      <c r="E9" s="58"/>
      <c r="F9" s="58"/>
      <c r="G9" s="32"/>
      <c r="H9" s="2"/>
      <c r="I9" s="3"/>
      <c r="J9" s="4"/>
      <c r="K9" s="4"/>
      <c r="L9" s="4"/>
      <c r="M9" s="5"/>
      <c r="N9" s="5"/>
      <c r="O9" s="5"/>
      <c r="P9" s="73">
        <f>SUM(D9:G9)-SUM(I9:O9)</f>
        <v>0</v>
      </c>
      <c r="Q9" s="6"/>
    </row>
    <row r="10" spans="2:17" ht="14.5" customHeight="1" x14ac:dyDescent="0.25">
      <c r="B10" s="289" t="s">
        <v>27</v>
      </c>
      <c r="C10" s="290"/>
      <c r="D10" s="33"/>
      <c r="E10" s="33"/>
      <c r="F10" s="33"/>
      <c r="G10" s="32"/>
      <c r="H10" s="7"/>
      <c r="I10" s="8"/>
      <c r="J10" s="9"/>
      <c r="K10" s="10"/>
      <c r="L10" s="10"/>
      <c r="M10" s="10"/>
      <c r="N10" s="10"/>
      <c r="O10" s="10"/>
      <c r="P10" s="74">
        <f t="shared" ref="P10:P20" si="0">SUM(D10:G10)-SUM(I10:O10)</f>
        <v>0</v>
      </c>
    </row>
    <row r="11" spans="2:17" ht="14.5" customHeight="1" x14ac:dyDescent="0.25">
      <c r="B11" s="289" t="s">
        <v>0</v>
      </c>
      <c r="C11" s="290"/>
      <c r="D11" s="33"/>
      <c r="E11" s="61"/>
      <c r="F11" s="33"/>
      <c r="G11" s="32"/>
      <c r="H11" s="7"/>
      <c r="I11" s="8"/>
      <c r="J11" s="9"/>
      <c r="K11" s="10"/>
      <c r="L11" s="10"/>
      <c r="M11" s="10"/>
      <c r="N11" s="10"/>
      <c r="O11" s="10"/>
      <c r="P11" s="74">
        <f t="shared" si="0"/>
        <v>0</v>
      </c>
    </row>
    <row r="12" spans="2:17" ht="14.5" customHeight="1" x14ac:dyDescent="0.25">
      <c r="B12" s="289" t="s">
        <v>1</v>
      </c>
      <c r="C12" s="290"/>
      <c r="D12" s="33"/>
      <c r="E12" s="61"/>
      <c r="F12" s="33"/>
      <c r="G12" s="32"/>
      <c r="H12" s="7"/>
      <c r="I12" s="8"/>
      <c r="J12" s="9"/>
      <c r="K12" s="10"/>
      <c r="L12" s="10"/>
      <c r="M12" s="10"/>
      <c r="N12" s="10"/>
      <c r="O12" s="10"/>
      <c r="P12" s="74">
        <f t="shared" si="0"/>
        <v>0</v>
      </c>
    </row>
    <row r="13" spans="2:17" ht="14.5" customHeight="1" x14ac:dyDescent="0.25">
      <c r="B13" s="289" t="s">
        <v>2</v>
      </c>
      <c r="C13" s="290"/>
      <c r="D13" s="33"/>
      <c r="E13" s="61"/>
      <c r="F13" s="33"/>
      <c r="G13" s="32"/>
      <c r="H13" s="7"/>
      <c r="I13" s="8"/>
      <c r="J13" s="9"/>
      <c r="K13" s="10"/>
      <c r="L13" s="10"/>
      <c r="M13" s="10"/>
      <c r="N13" s="10"/>
      <c r="O13" s="10"/>
      <c r="P13" s="74">
        <f t="shared" si="0"/>
        <v>0</v>
      </c>
    </row>
    <row r="14" spans="2:17" ht="14.5" customHeight="1" x14ac:dyDescent="0.25">
      <c r="B14" s="289" t="s">
        <v>3</v>
      </c>
      <c r="C14" s="290"/>
      <c r="D14" s="33"/>
      <c r="E14" s="62"/>
      <c r="F14" s="33"/>
      <c r="G14" s="32"/>
      <c r="H14" s="7"/>
      <c r="I14" s="8"/>
      <c r="J14" s="9"/>
      <c r="K14" s="10"/>
      <c r="L14" s="10"/>
      <c r="M14" s="10"/>
      <c r="N14" s="10"/>
      <c r="O14" s="10"/>
      <c r="P14" s="74">
        <f t="shared" si="0"/>
        <v>0</v>
      </c>
    </row>
    <row r="15" spans="2:17" ht="14.5" customHeight="1" x14ac:dyDescent="0.25">
      <c r="B15" s="289" t="s">
        <v>4</v>
      </c>
      <c r="C15" s="290"/>
      <c r="D15" s="33"/>
      <c r="E15" s="58"/>
      <c r="F15" s="33"/>
      <c r="G15" s="32"/>
      <c r="H15" s="7"/>
      <c r="I15" s="8"/>
      <c r="J15" s="9"/>
      <c r="K15" s="10"/>
      <c r="L15" s="10"/>
      <c r="M15" s="10"/>
      <c r="N15" s="10"/>
      <c r="O15" s="10"/>
      <c r="P15" s="74">
        <f t="shared" si="0"/>
        <v>0</v>
      </c>
    </row>
    <row r="16" spans="2:17" ht="14.5" customHeight="1" x14ac:dyDescent="0.25">
      <c r="B16" s="289" t="s">
        <v>5</v>
      </c>
      <c r="C16" s="290"/>
      <c r="D16" s="33"/>
      <c r="E16" s="33"/>
      <c r="F16" s="61"/>
      <c r="G16" s="32"/>
      <c r="H16" s="7"/>
      <c r="I16" s="8"/>
      <c r="J16" s="9"/>
      <c r="K16" s="10"/>
      <c r="L16" s="10"/>
      <c r="M16" s="10"/>
      <c r="N16" s="10"/>
      <c r="O16" s="10"/>
      <c r="P16" s="74">
        <f t="shared" si="0"/>
        <v>0</v>
      </c>
    </row>
    <row r="17" spans="2:23" ht="14.5" customHeight="1" x14ac:dyDescent="0.25">
      <c r="B17" s="289" t="s">
        <v>6</v>
      </c>
      <c r="C17" s="290"/>
      <c r="D17" s="33"/>
      <c r="E17" s="58"/>
      <c r="F17" s="58"/>
      <c r="G17" s="32"/>
      <c r="H17" s="7"/>
      <c r="I17" s="8"/>
      <c r="J17" s="9"/>
      <c r="K17" s="10"/>
      <c r="L17" s="10"/>
      <c r="M17" s="10"/>
      <c r="N17" s="10"/>
      <c r="O17" s="10"/>
      <c r="P17" s="74">
        <f t="shared" si="0"/>
        <v>0</v>
      </c>
    </row>
    <row r="18" spans="2:23" ht="14.5" customHeight="1" x14ac:dyDescent="0.25">
      <c r="B18" s="289" t="s">
        <v>7</v>
      </c>
      <c r="C18" s="290"/>
      <c r="D18" s="33"/>
      <c r="E18" s="33"/>
      <c r="F18" s="175"/>
      <c r="G18" s="32"/>
      <c r="H18" s="7"/>
      <c r="I18" s="8"/>
      <c r="J18" s="9"/>
      <c r="K18" s="10"/>
      <c r="L18" s="10"/>
      <c r="M18" s="10"/>
      <c r="N18" s="10"/>
      <c r="O18" s="10"/>
      <c r="P18" s="74">
        <f t="shared" si="0"/>
        <v>0</v>
      </c>
    </row>
    <row r="19" spans="2:23" ht="14.5" customHeight="1" x14ac:dyDescent="0.25">
      <c r="B19" s="289" t="s">
        <v>8</v>
      </c>
      <c r="C19" s="290"/>
      <c r="D19" s="33"/>
      <c r="E19" s="33"/>
      <c r="F19" s="56"/>
      <c r="G19" s="32"/>
      <c r="H19" s="7"/>
      <c r="I19" s="8"/>
      <c r="J19" s="9"/>
      <c r="K19" s="10"/>
      <c r="L19" s="10"/>
      <c r="M19" s="10"/>
      <c r="N19" s="10"/>
      <c r="O19" s="10"/>
      <c r="P19" s="74">
        <f t="shared" si="0"/>
        <v>0</v>
      </c>
    </row>
    <row r="20" spans="2:23" ht="14.5" customHeight="1" thickBot="1" x14ac:dyDescent="0.3">
      <c r="B20" s="320" t="s">
        <v>9</v>
      </c>
      <c r="C20" s="321"/>
      <c r="D20" s="34"/>
      <c r="E20" s="34"/>
      <c r="F20" s="57"/>
      <c r="G20" s="63"/>
      <c r="H20" s="11"/>
      <c r="I20" s="12"/>
      <c r="J20" s="13"/>
      <c r="K20" s="14"/>
      <c r="L20" s="14"/>
      <c r="M20" s="14"/>
      <c r="N20" s="14"/>
      <c r="O20" s="14"/>
      <c r="P20" s="75">
        <f t="shared" si="0"/>
        <v>0</v>
      </c>
    </row>
    <row r="21" spans="2:23" ht="14.5" customHeight="1" thickBot="1" x14ac:dyDescent="0.3">
      <c r="B21" s="322" t="s">
        <v>102</v>
      </c>
      <c r="C21" s="323"/>
      <c r="D21" s="76">
        <f>SUM(D9:D20)</f>
        <v>0</v>
      </c>
      <c r="E21" s="76">
        <f>SUM(E9:E20)</f>
        <v>0</v>
      </c>
      <c r="F21" s="76">
        <f>SUM(F9:F20)</f>
        <v>0</v>
      </c>
      <c r="G21" s="77">
        <f t="shared" ref="G21:O21" si="1">SUM(G9:G20)</f>
        <v>0</v>
      </c>
      <c r="H21" s="78">
        <f>SUM(H9:H20)</f>
        <v>0</v>
      </c>
      <c r="I21" s="187">
        <f>SUM(I9:I20)</f>
        <v>0</v>
      </c>
      <c r="J21" s="79">
        <f>SUM(J9:J20)</f>
        <v>0</v>
      </c>
      <c r="K21" s="76">
        <f t="shared" si="1"/>
        <v>0</v>
      </c>
      <c r="L21" s="76">
        <f t="shared" si="1"/>
        <v>0</v>
      </c>
      <c r="M21" s="76">
        <f t="shared" si="1"/>
        <v>0</v>
      </c>
      <c r="N21" s="76">
        <f t="shared" si="1"/>
        <v>0</v>
      </c>
      <c r="O21" s="76">
        <f t="shared" si="1"/>
        <v>0</v>
      </c>
      <c r="P21" s="80">
        <f>SUM(P9:P20)</f>
        <v>0</v>
      </c>
      <c r="Q21" s="176"/>
      <c r="R21" s="6"/>
    </row>
    <row r="22" spans="2:23" ht="27" customHeight="1" x14ac:dyDescent="0.25">
      <c r="B22" s="309" t="s">
        <v>252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311"/>
    </row>
    <row r="23" spans="2:23" ht="13.5" thickBot="1" x14ac:dyDescent="0.3">
      <c r="D23" s="15"/>
      <c r="E23" s="15"/>
      <c r="F23" s="15"/>
      <c r="G23" s="15"/>
      <c r="H23" s="6"/>
      <c r="I23" s="6"/>
      <c r="J23" s="6"/>
      <c r="K23" s="6"/>
      <c r="L23" s="6"/>
      <c r="M23" s="6"/>
      <c r="N23" s="6"/>
      <c r="O23" s="6"/>
      <c r="S23" s="6"/>
    </row>
    <row r="24" spans="2:23" ht="15" customHeight="1" thickBot="1" x14ac:dyDescent="0.3">
      <c r="B24" s="312" t="s">
        <v>10</v>
      </c>
      <c r="C24" s="313"/>
      <c r="D24" s="313"/>
      <c r="E24" s="314">
        <f>SUM(D21:G21)-H21</f>
        <v>0</v>
      </c>
      <c r="F24" s="315"/>
      <c r="G24" s="315"/>
      <c r="H24" s="316"/>
      <c r="I24" s="188"/>
      <c r="J24" s="6"/>
      <c r="K24" s="317" t="s">
        <v>11</v>
      </c>
      <c r="L24" s="318"/>
      <c r="M24" s="318"/>
      <c r="N24" s="227" t="s">
        <v>12</v>
      </c>
      <c r="O24" s="318" t="s">
        <v>13</v>
      </c>
      <c r="P24" s="319"/>
    </row>
    <row r="25" spans="2:23" ht="15" customHeight="1" thickTop="1" x14ac:dyDescent="0.25">
      <c r="B25" s="333" t="s">
        <v>29</v>
      </c>
      <c r="C25" s="334"/>
      <c r="D25" s="334"/>
      <c r="E25" s="335">
        <f>INT(IF(E24&gt;100000000,14750000+(E24-100000000)*0.02,IF(E24&gt;45000000,12000000+(E24-45000000)*0.05,IF(E24&gt;15000000,7500000+(E24-15000000)*0.15,IF(E24&gt;5000000,3500000+(E24-5000000)*0.4,E24*0.7)))))</f>
        <v>0</v>
      </c>
      <c r="F25" s="336"/>
      <c r="G25" s="336"/>
      <c r="H25" s="337"/>
      <c r="I25" s="188"/>
      <c r="J25" s="6"/>
      <c r="K25" s="338" t="s">
        <v>84</v>
      </c>
      <c r="L25" s="339"/>
      <c r="M25" s="81" t="s">
        <v>32</v>
      </c>
      <c r="N25" s="39"/>
      <c r="O25" s="342">
        <v>1000000</v>
      </c>
      <c r="P25" s="343"/>
    </row>
    <row r="26" spans="2:23" ht="15" customHeight="1" x14ac:dyDescent="0.25">
      <c r="B26" s="333" t="s">
        <v>28</v>
      </c>
      <c r="C26" s="334"/>
      <c r="D26" s="334"/>
      <c r="E26" s="335">
        <f>E24-E25</f>
        <v>0</v>
      </c>
      <c r="F26" s="336"/>
      <c r="G26" s="336"/>
      <c r="H26" s="337"/>
      <c r="I26" s="188"/>
      <c r="J26" s="6"/>
      <c r="K26" s="340"/>
      <c r="L26" s="341"/>
      <c r="M26" s="82" t="s">
        <v>33</v>
      </c>
      <c r="N26" s="40"/>
      <c r="O26" s="344"/>
      <c r="P26" s="345"/>
      <c r="R26" s="6"/>
      <c r="S26" s="6"/>
    </row>
    <row r="27" spans="2:23" ht="15" customHeight="1" x14ac:dyDescent="0.25">
      <c r="B27" s="372" t="s">
        <v>43</v>
      </c>
      <c r="C27" s="330" t="s">
        <v>14</v>
      </c>
      <c r="D27" s="83" t="s">
        <v>15</v>
      </c>
      <c r="E27" s="84">
        <f>$G$27*10000</f>
        <v>1500000</v>
      </c>
      <c r="F27" s="16" t="s">
        <v>103</v>
      </c>
      <c r="G27" s="85">
        <v>150</v>
      </c>
      <c r="H27" s="392" t="s">
        <v>104</v>
      </c>
      <c r="I27" s="189"/>
      <c r="J27" s="6"/>
      <c r="K27" s="346" t="s">
        <v>105</v>
      </c>
      <c r="L27" s="178" t="s">
        <v>106</v>
      </c>
      <c r="M27" s="213" t="s">
        <v>105</v>
      </c>
      <c r="N27" s="30"/>
      <c r="O27" s="179">
        <v>0.03</v>
      </c>
      <c r="P27" s="180">
        <f>O27*E24</f>
        <v>0</v>
      </c>
      <c r="S27" s="6"/>
      <c r="T27" s="17" t="s">
        <v>107</v>
      </c>
      <c r="U27" s="17" t="s">
        <v>108</v>
      </c>
      <c r="V27" s="211" t="s">
        <v>109</v>
      </c>
      <c r="W27" s="211" t="s">
        <v>234</v>
      </c>
    </row>
    <row r="28" spans="2:23" ht="15" customHeight="1" x14ac:dyDescent="0.25">
      <c r="B28" s="373"/>
      <c r="C28" s="390"/>
      <c r="D28" s="220" t="s">
        <v>110</v>
      </c>
      <c r="E28" s="86">
        <f>IF(F28="o",$G$27*10000,0)</f>
        <v>0</v>
      </c>
      <c r="F28" s="41"/>
      <c r="G28" s="87" t="s">
        <v>111</v>
      </c>
      <c r="H28" s="393"/>
      <c r="I28" s="189"/>
      <c r="J28" s="6"/>
      <c r="K28" s="347"/>
      <c r="L28" s="181" t="s">
        <v>239</v>
      </c>
      <c r="M28" s="247" t="s">
        <v>241</v>
      </c>
      <c r="N28" s="56"/>
      <c r="O28" s="240" t="s">
        <v>242</v>
      </c>
      <c r="P28" s="241">
        <v>0.2</v>
      </c>
      <c r="R28" s="6"/>
      <c r="T28" s="17" t="s">
        <v>113</v>
      </c>
      <c r="U28" s="18">
        <v>0</v>
      </c>
      <c r="V28" s="19">
        <v>0</v>
      </c>
      <c r="W28" s="59" t="s">
        <v>236</v>
      </c>
    </row>
    <row r="29" spans="2:23" ht="15" customHeight="1" x14ac:dyDescent="0.25">
      <c r="B29" s="373"/>
      <c r="C29" s="390"/>
      <c r="D29" s="220" t="s">
        <v>114</v>
      </c>
      <c r="E29" s="86">
        <f>F29*$G$27*10000</f>
        <v>0</v>
      </c>
      <c r="F29" s="42"/>
      <c r="G29" s="87" t="s">
        <v>115</v>
      </c>
      <c r="H29" s="393"/>
      <c r="I29" s="189"/>
      <c r="J29" s="6"/>
      <c r="K29" s="347"/>
      <c r="L29" s="181" t="s">
        <v>240</v>
      </c>
      <c r="M29" s="326" t="s">
        <v>112</v>
      </c>
      <c r="N29" s="182"/>
      <c r="O29" s="183"/>
      <c r="P29" s="328">
        <v>500000</v>
      </c>
      <c r="T29" s="17" t="s">
        <v>117</v>
      </c>
      <c r="U29" s="18">
        <v>1</v>
      </c>
      <c r="V29" s="20">
        <v>0.5</v>
      </c>
      <c r="W29" s="59" t="s">
        <v>235</v>
      </c>
    </row>
    <row r="30" spans="2:23" ht="15" customHeight="1" x14ac:dyDescent="0.25">
      <c r="B30" s="373"/>
      <c r="C30" s="390"/>
      <c r="D30" s="88" t="s">
        <v>118</v>
      </c>
      <c r="E30" s="89">
        <f>F30*$G$27*10000</f>
        <v>0</v>
      </c>
      <c r="F30" s="42"/>
      <c r="G30" s="87" t="s">
        <v>119</v>
      </c>
      <c r="H30" s="393"/>
      <c r="I30" s="189"/>
      <c r="J30" s="6"/>
      <c r="K30" s="347"/>
      <c r="L30" s="232"/>
      <c r="M30" s="327"/>
      <c r="N30" s="184"/>
      <c r="O30" s="185"/>
      <c r="P30" s="329"/>
      <c r="T30" s="17"/>
      <c r="U30" s="18">
        <v>2</v>
      </c>
      <c r="V30" s="20">
        <v>0.7</v>
      </c>
      <c r="W30" s="59" t="s">
        <v>237</v>
      </c>
    </row>
    <row r="31" spans="2:23" ht="15" customHeight="1" x14ac:dyDescent="0.25">
      <c r="B31" s="373"/>
      <c r="C31" s="390"/>
      <c r="D31" s="88" t="s">
        <v>121</v>
      </c>
      <c r="E31" s="89">
        <f>F31*$G$27*10000</f>
        <v>0</v>
      </c>
      <c r="F31" s="43"/>
      <c r="G31" s="90" t="s">
        <v>44</v>
      </c>
      <c r="H31" s="393"/>
      <c r="I31" s="189"/>
      <c r="J31" s="6"/>
      <c r="K31" s="347"/>
      <c r="L31" s="181" t="s">
        <v>120</v>
      </c>
      <c r="M31" s="123" t="s">
        <v>105</v>
      </c>
      <c r="N31" s="45"/>
      <c r="O31" s="324">
        <v>7000000</v>
      </c>
      <c r="P31" s="325"/>
      <c r="S31" s="6"/>
      <c r="T31" s="17"/>
      <c r="U31" s="18">
        <v>3</v>
      </c>
      <c r="V31" s="20">
        <v>1</v>
      </c>
      <c r="W31" s="59" t="s">
        <v>257</v>
      </c>
    </row>
    <row r="32" spans="2:23" ht="15" customHeight="1" x14ac:dyDescent="0.25">
      <c r="B32" s="373"/>
      <c r="C32" s="391"/>
      <c r="D32" s="223" t="s">
        <v>123</v>
      </c>
      <c r="E32" s="91">
        <f>F32*$G$27*10000</f>
        <v>0</v>
      </c>
      <c r="F32" s="44"/>
      <c r="G32" s="92" t="s">
        <v>124</v>
      </c>
      <c r="H32" s="394"/>
      <c r="I32" s="189"/>
      <c r="J32" s="6"/>
      <c r="K32" s="347"/>
      <c r="L32" s="181" t="s">
        <v>122</v>
      </c>
      <c r="M32" s="326" t="s">
        <v>112</v>
      </c>
      <c r="N32" s="182"/>
      <c r="O32" s="60"/>
      <c r="P32" s="328">
        <v>500000</v>
      </c>
      <c r="S32" s="212"/>
      <c r="T32" s="17"/>
      <c r="U32" s="18">
        <v>4</v>
      </c>
    </row>
    <row r="33" spans="2:23" ht="15" customHeight="1" x14ac:dyDescent="0.25">
      <c r="B33" s="373"/>
      <c r="C33" s="330" t="s">
        <v>45</v>
      </c>
      <c r="D33" s="218" t="s">
        <v>125</v>
      </c>
      <c r="E33" s="93">
        <f>F33*G33*10000</f>
        <v>0</v>
      </c>
      <c r="F33" s="46"/>
      <c r="G33" s="94">
        <v>100</v>
      </c>
      <c r="H33" s="95" t="s">
        <v>126</v>
      </c>
      <c r="I33" s="271"/>
      <c r="J33" s="6"/>
      <c r="K33" s="348"/>
      <c r="L33" s="232" t="s">
        <v>116</v>
      </c>
      <c r="M33" s="327"/>
      <c r="N33" s="184"/>
      <c r="O33" s="186"/>
      <c r="P33" s="329"/>
      <c r="S33" s="6"/>
      <c r="T33" s="17"/>
      <c r="U33" s="18">
        <v>5</v>
      </c>
    </row>
    <row r="34" spans="2:23" ht="15" customHeight="1" x14ac:dyDescent="0.25">
      <c r="B34" s="373"/>
      <c r="C34" s="331"/>
      <c r="D34" s="220" t="s">
        <v>128</v>
      </c>
      <c r="E34" s="86">
        <f>F34*G34*10000</f>
        <v>0</v>
      </c>
      <c r="F34" s="42"/>
      <c r="G34" s="96">
        <v>200</v>
      </c>
      <c r="H34" s="215" t="s">
        <v>129</v>
      </c>
      <c r="I34" s="272"/>
      <c r="J34" s="6"/>
      <c r="K34" s="357" t="s">
        <v>127</v>
      </c>
      <c r="L34" s="349" t="s">
        <v>251</v>
      </c>
      <c r="M34" s="350"/>
      <c r="N34" s="31"/>
      <c r="O34" s="379" t="s">
        <v>34</v>
      </c>
      <c r="P34" s="380"/>
      <c r="T34" s="17"/>
      <c r="U34" s="18">
        <v>6</v>
      </c>
    </row>
    <row r="35" spans="2:23" ht="15" customHeight="1" x14ac:dyDescent="0.25">
      <c r="B35" s="373"/>
      <c r="C35" s="331"/>
      <c r="D35" s="220" t="s">
        <v>130</v>
      </c>
      <c r="E35" s="86">
        <f>IF(E36&gt;0,0,IF(F35="o",G35*10000,0))</f>
        <v>0</v>
      </c>
      <c r="F35" s="41"/>
      <c r="G35" s="96">
        <v>50</v>
      </c>
      <c r="H35" s="215" t="s">
        <v>131</v>
      </c>
      <c r="I35" s="272"/>
      <c r="J35" s="6"/>
      <c r="K35" s="358"/>
      <c r="L35" s="351" t="s">
        <v>249</v>
      </c>
      <c r="M35" s="352"/>
      <c r="N35" s="5"/>
      <c r="O35" s="360">
        <v>9000000</v>
      </c>
      <c r="P35" s="361"/>
      <c r="T35" s="17"/>
      <c r="U35" s="18">
        <v>7</v>
      </c>
    </row>
    <row r="36" spans="2:23" ht="15" customHeight="1" x14ac:dyDescent="0.25">
      <c r="B36" s="374"/>
      <c r="C36" s="332"/>
      <c r="D36" s="97" t="s">
        <v>132</v>
      </c>
      <c r="E36" s="98">
        <f>IF(F36="o",1000000,0)</f>
        <v>0</v>
      </c>
      <c r="F36" s="47"/>
      <c r="G36" s="381" t="s">
        <v>133</v>
      </c>
      <c r="H36" s="382"/>
      <c r="I36" s="191"/>
      <c r="J36" s="6"/>
      <c r="K36" s="358"/>
      <c r="L36" s="353"/>
      <c r="M36" s="354"/>
      <c r="N36" s="255"/>
      <c r="O36" s="362"/>
      <c r="P36" s="363"/>
      <c r="T36" s="17"/>
      <c r="U36" s="18">
        <v>8</v>
      </c>
    </row>
    <row r="37" spans="2:23" ht="15" customHeight="1" x14ac:dyDescent="0.25">
      <c r="B37" s="366" t="s">
        <v>134</v>
      </c>
      <c r="C37" s="367"/>
      <c r="D37" s="368"/>
      <c r="E37" s="99">
        <f>IF(M21&gt;0,M21,H37)</f>
        <v>0</v>
      </c>
      <c r="F37" s="100">
        <v>4.4999999999999998E-2</v>
      </c>
      <c r="G37" s="369" t="s">
        <v>135</v>
      </c>
      <c r="H37" s="101">
        <f>IF(E24&gt;50520000,50520000*F37,E24*F37)</f>
        <v>0</v>
      </c>
      <c r="I37" s="192"/>
      <c r="J37" s="6"/>
      <c r="K37" s="358"/>
      <c r="L37" s="353"/>
      <c r="M37" s="354"/>
      <c r="N37" s="255"/>
      <c r="O37" s="362"/>
      <c r="P37" s="363"/>
      <c r="T37" s="17"/>
      <c r="U37" s="18">
        <v>9</v>
      </c>
    </row>
    <row r="38" spans="2:23" ht="15" customHeight="1" x14ac:dyDescent="0.25">
      <c r="B38" s="372" t="s">
        <v>136</v>
      </c>
      <c r="C38" s="330" t="s">
        <v>137</v>
      </c>
      <c r="D38" s="102" t="s">
        <v>138</v>
      </c>
      <c r="E38" s="103">
        <f>IF(K21&gt;0,K21,H38)</f>
        <v>0</v>
      </c>
      <c r="F38" s="233">
        <v>3.0599999999999999E-2</v>
      </c>
      <c r="G38" s="370"/>
      <c r="H38" s="104">
        <f>E24*F38</f>
        <v>0</v>
      </c>
      <c r="I38" s="193"/>
      <c r="J38" s="6"/>
      <c r="K38" s="358"/>
      <c r="L38" s="353"/>
      <c r="M38" s="354"/>
      <c r="N38" s="255"/>
      <c r="O38" s="362"/>
      <c r="P38" s="363"/>
    </row>
    <row r="39" spans="2:23" ht="15" customHeight="1" x14ac:dyDescent="0.25">
      <c r="B39" s="373"/>
      <c r="C39" s="331"/>
      <c r="D39" s="105" t="s">
        <v>139</v>
      </c>
      <c r="E39" s="106">
        <f>IF(L21&gt;0,L21,H39)</f>
        <v>0</v>
      </c>
      <c r="F39" s="107">
        <f>F38*6.55%</f>
        <v>2.0043000000000001E-3</v>
      </c>
      <c r="G39" s="370"/>
      <c r="H39" s="104">
        <f>E24*F39</f>
        <v>0</v>
      </c>
      <c r="I39" s="193"/>
      <c r="J39" s="6"/>
      <c r="K39" s="358"/>
      <c r="L39" s="355"/>
      <c r="M39" s="356"/>
      <c r="N39" s="256"/>
      <c r="O39" s="364"/>
      <c r="P39" s="365"/>
    </row>
    <row r="40" spans="2:23" ht="15" customHeight="1" x14ac:dyDescent="0.25">
      <c r="B40" s="373"/>
      <c r="C40" s="332"/>
      <c r="D40" s="108" t="s">
        <v>26</v>
      </c>
      <c r="E40" s="109">
        <f>IF(N21&gt;0,N21,H40)</f>
        <v>0</v>
      </c>
      <c r="F40" s="110">
        <v>6.4999999999999997E-3</v>
      </c>
      <c r="G40" s="371"/>
      <c r="H40" s="111">
        <f>E24*F40</f>
        <v>0</v>
      </c>
      <c r="I40" s="193"/>
      <c r="J40" s="6"/>
      <c r="K40" s="358"/>
      <c r="L40" s="383" t="s">
        <v>250</v>
      </c>
      <c r="M40" s="248" t="s">
        <v>243</v>
      </c>
      <c r="N40" s="249" t="s">
        <v>245</v>
      </c>
      <c r="O40" s="250" t="s">
        <v>246</v>
      </c>
      <c r="P40" s="245" t="s">
        <v>247</v>
      </c>
    </row>
    <row r="41" spans="2:23" ht="15" customHeight="1" x14ac:dyDescent="0.25">
      <c r="B41" s="373"/>
      <c r="C41" s="330" t="s">
        <v>46</v>
      </c>
      <c r="D41" s="214" t="s">
        <v>47</v>
      </c>
      <c r="E41" s="103">
        <f>IF(INT(N51*0.4)+E46&gt;P48,P48-E46,INT(N51*0.4))</f>
        <v>0</v>
      </c>
      <c r="F41" s="375" t="s">
        <v>48</v>
      </c>
      <c r="G41" s="376"/>
      <c r="H41" s="217">
        <f>P48</f>
        <v>3000000</v>
      </c>
      <c r="I41" s="190"/>
      <c r="J41" s="6"/>
      <c r="K41" s="358"/>
      <c r="L41" s="384"/>
      <c r="M41" s="253"/>
      <c r="N41" s="30"/>
      <c r="O41" s="257"/>
      <c r="P41" s="244">
        <v>3000000</v>
      </c>
    </row>
    <row r="42" spans="2:23" ht="15" customHeight="1" x14ac:dyDescent="0.25">
      <c r="B42" s="373"/>
      <c r="C42" s="332"/>
      <c r="D42" s="97" t="s">
        <v>140</v>
      </c>
      <c r="E42" s="112">
        <f>MIN(N56,H42)</f>
        <v>0</v>
      </c>
      <c r="F42" s="377" t="s">
        <v>141</v>
      </c>
      <c r="G42" s="378"/>
      <c r="H42" s="226">
        <f>IF(AND(E41+E46+N56&gt;P53,P53-E46-E41&gt;0),P53-E46-E41,P53)</f>
        <v>0</v>
      </c>
      <c r="I42" s="190"/>
      <c r="J42" s="6"/>
      <c r="K42" s="358"/>
      <c r="L42" s="384"/>
      <c r="M42" s="254"/>
      <c r="N42" s="33"/>
      <c r="O42" s="258"/>
      <c r="P42" s="246" t="s">
        <v>244</v>
      </c>
      <c r="T42" s="211" t="s">
        <v>142</v>
      </c>
      <c r="U42" s="211" t="s">
        <v>143</v>
      </c>
      <c r="V42" s="211" t="s">
        <v>144</v>
      </c>
      <c r="W42" s="211" t="s">
        <v>145</v>
      </c>
    </row>
    <row r="43" spans="2:23" ht="15" customHeight="1" x14ac:dyDescent="0.25">
      <c r="B43" s="374"/>
      <c r="C43" s="395" t="s">
        <v>146</v>
      </c>
      <c r="D43" s="396"/>
      <c r="E43" s="113">
        <v>0</v>
      </c>
      <c r="F43" s="397" t="s">
        <v>147</v>
      </c>
      <c r="G43" s="398"/>
      <c r="H43" s="399"/>
      <c r="I43" s="194"/>
      <c r="J43" s="6"/>
      <c r="K43" s="358"/>
      <c r="L43" s="384"/>
      <c r="M43" s="254"/>
      <c r="N43" s="33"/>
      <c r="O43" s="258"/>
      <c r="P43" s="244">
        <v>500000</v>
      </c>
      <c r="Q43" s="6"/>
      <c r="T43" s="211" t="s">
        <v>148</v>
      </c>
      <c r="U43" s="211" t="s">
        <v>149</v>
      </c>
      <c r="V43" s="211" t="s">
        <v>150</v>
      </c>
      <c r="W43" s="211" t="s">
        <v>151</v>
      </c>
    </row>
    <row r="44" spans="2:23" ht="15" customHeight="1" x14ac:dyDescent="0.25">
      <c r="B44" s="372" t="s">
        <v>152</v>
      </c>
      <c r="C44" s="400" t="s">
        <v>153</v>
      </c>
      <c r="D44" s="401"/>
      <c r="E44" s="103">
        <f>MIN(INT(N62*0.4),H44)</f>
        <v>0</v>
      </c>
      <c r="F44" s="375" t="s">
        <v>35</v>
      </c>
      <c r="G44" s="376"/>
      <c r="H44" s="217">
        <f>O62</f>
        <v>720000</v>
      </c>
      <c r="I44" s="190"/>
      <c r="J44" s="6"/>
      <c r="K44" s="358"/>
      <c r="L44" s="384"/>
      <c r="M44" s="254"/>
      <c r="N44" s="33"/>
      <c r="O44" s="258"/>
      <c r="P44" s="251" t="s">
        <v>248</v>
      </c>
      <c r="Q44" s="6"/>
      <c r="T44" s="211" t="s">
        <v>73</v>
      </c>
      <c r="U44" s="211" t="s">
        <v>74</v>
      </c>
      <c r="V44" s="211" t="s">
        <v>75</v>
      </c>
      <c r="W44" s="211" t="s">
        <v>76</v>
      </c>
    </row>
    <row r="45" spans="2:23" ht="15" customHeight="1" x14ac:dyDescent="0.25">
      <c r="B45" s="373"/>
      <c r="C45" s="402" t="s">
        <v>154</v>
      </c>
      <c r="D45" s="403"/>
      <c r="E45" s="106">
        <f>MIN(INT(N63),O63)</f>
        <v>0</v>
      </c>
      <c r="F45" s="404" t="s">
        <v>49</v>
      </c>
      <c r="G45" s="405"/>
      <c r="H45" s="215">
        <f>O63</f>
        <v>5000000</v>
      </c>
      <c r="I45" s="190"/>
      <c r="J45" s="6"/>
      <c r="K45" s="358"/>
      <c r="L45" s="385"/>
      <c r="M45" s="259"/>
      <c r="N45" s="48"/>
      <c r="O45" s="260"/>
      <c r="P45" s="252">
        <v>300000</v>
      </c>
      <c r="T45" s="211" t="s">
        <v>155</v>
      </c>
      <c r="U45" s="211" t="s">
        <v>156</v>
      </c>
    </row>
    <row r="46" spans="2:23" ht="15" customHeight="1" x14ac:dyDescent="0.25">
      <c r="B46" s="373"/>
      <c r="C46" s="406" t="s">
        <v>157</v>
      </c>
      <c r="D46" s="407"/>
      <c r="E46" s="106">
        <f>INT(P50*0.4)</f>
        <v>0</v>
      </c>
      <c r="F46" s="404" t="s">
        <v>158</v>
      </c>
      <c r="G46" s="405"/>
      <c r="H46" s="267">
        <f>P48</f>
        <v>3000000</v>
      </c>
      <c r="I46" s="190"/>
      <c r="J46" s="6"/>
      <c r="K46" s="359"/>
      <c r="L46" s="386" t="s">
        <v>159</v>
      </c>
      <c r="M46" s="387"/>
      <c r="N46" s="40"/>
      <c r="O46" s="388" t="s">
        <v>34</v>
      </c>
      <c r="P46" s="389"/>
      <c r="T46" s="211" t="s">
        <v>160</v>
      </c>
    </row>
    <row r="47" spans="2:23" ht="15" customHeight="1" x14ac:dyDescent="0.25">
      <c r="B47" s="373"/>
      <c r="C47" s="406" t="s">
        <v>161</v>
      </c>
      <c r="D47" s="407"/>
      <c r="E47" s="106">
        <f>MIN(INT(IF(N64&gt;50000000,32500000+(N64-50000000)*0.3,IF(N64&gt;15000000,15000000+(N64-15000000)*0.5,N64))),P64)</f>
        <v>0</v>
      </c>
      <c r="F47" s="408" t="s">
        <v>162</v>
      </c>
      <c r="G47" s="409"/>
      <c r="H47" s="215" t="s">
        <v>163</v>
      </c>
      <c r="I47" s="190"/>
      <c r="J47" s="6"/>
      <c r="K47" s="410" t="s">
        <v>164</v>
      </c>
      <c r="L47" s="383" t="s">
        <v>165</v>
      </c>
      <c r="M47" s="114" t="s">
        <v>166</v>
      </c>
      <c r="N47" s="30"/>
      <c r="O47" s="216">
        <v>1200000</v>
      </c>
      <c r="P47" s="115" t="s">
        <v>167</v>
      </c>
    </row>
    <row r="48" spans="2:23" ht="15" customHeight="1" x14ac:dyDescent="0.25">
      <c r="B48" s="373"/>
      <c r="C48" s="413" t="s">
        <v>168</v>
      </c>
      <c r="D48" s="414"/>
      <c r="E48" s="261">
        <f>MIN(P72,H48)</f>
        <v>0</v>
      </c>
      <c r="F48" s="415" t="s">
        <v>169</v>
      </c>
      <c r="G48" s="416"/>
      <c r="H48" s="262">
        <f>IF(P72&gt;P68,P68+MIN(O75,P76)+MIN(O76,P76),P68)</f>
        <v>0</v>
      </c>
      <c r="I48" s="190"/>
      <c r="J48" s="6"/>
      <c r="K48" s="411"/>
      <c r="L48" s="384"/>
      <c r="M48" s="219" t="s">
        <v>170</v>
      </c>
      <c r="N48" s="33"/>
      <c r="O48" s="219">
        <v>1200000</v>
      </c>
      <c r="P48" s="222">
        <v>3000000</v>
      </c>
      <c r="T48" s="211" t="s">
        <v>171</v>
      </c>
    </row>
    <row r="49" spans="2:20" ht="15" customHeight="1" x14ac:dyDescent="0.25">
      <c r="B49" s="373"/>
      <c r="C49" s="406" t="s">
        <v>172</v>
      </c>
      <c r="D49" s="407"/>
      <c r="E49" s="106">
        <f>MIN(INT(N65),O65)</f>
        <v>0</v>
      </c>
      <c r="F49" s="408" t="s">
        <v>173</v>
      </c>
      <c r="G49" s="425"/>
      <c r="H49" s="426"/>
      <c r="I49" s="195"/>
      <c r="J49" s="6"/>
      <c r="K49" s="411"/>
      <c r="L49" s="384"/>
      <c r="M49" s="116" t="s">
        <v>174</v>
      </c>
      <c r="N49" s="117"/>
      <c r="O49" s="118">
        <f>IF(E24&gt;70000000,0,2400000)</f>
        <v>2400000</v>
      </c>
      <c r="P49" s="115" t="s">
        <v>175</v>
      </c>
      <c r="R49" s="6"/>
      <c r="T49" s="211" t="s">
        <v>176</v>
      </c>
    </row>
    <row r="50" spans="2:20" ht="15" customHeight="1" x14ac:dyDescent="0.25">
      <c r="B50" s="373"/>
      <c r="C50" s="402" t="s">
        <v>177</v>
      </c>
      <c r="D50" s="403"/>
      <c r="E50" s="106">
        <f>MIN(INT(N66*0.5),O66)</f>
        <v>0</v>
      </c>
      <c r="F50" s="408" t="s">
        <v>178</v>
      </c>
      <c r="G50" s="409"/>
      <c r="H50" s="122">
        <f>O66</f>
        <v>10000000</v>
      </c>
      <c r="I50" s="192"/>
      <c r="J50" s="6"/>
      <c r="K50" s="412"/>
      <c r="L50" s="385"/>
      <c r="M50" s="119" t="s">
        <v>179</v>
      </c>
      <c r="N50" s="48"/>
      <c r="O50" s="221">
        <v>1800000</v>
      </c>
      <c r="P50" s="222">
        <f>MIN(INT(N47),O47)+MIN(INT(N48),O48)+MIN(INT(N49),O49)+MIN(INT(N50),O50)</f>
        <v>0</v>
      </c>
      <c r="R50" s="6"/>
      <c r="T50" s="211" t="s">
        <v>180</v>
      </c>
    </row>
    <row r="51" spans="2:20" ht="15" customHeight="1" x14ac:dyDescent="0.25">
      <c r="B51" s="374"/>
      <c r="C51" s="431" t="s">
        <v>181</v>
      </c>
      <c r="D51" s="432"/>
      <c r="E51" s="109">
        <f>MIN(INT(N67*0.4),P67)</f>
        <v>0</v>
      </c>
      <c r="F51" s="433" t="s">
        <v>182</v>
      </c>
      <c r="G51" s="434"/>
      <c r="H51" s="126">
        <f>P67</f>
        <v>2400000</v>
      </c>
      <c r="I51" s="192"/>
      <c r="J51" s="6"/>
      <c r="K51" s="410" t="s">
        <v>50</v>
      </c>
      <c r="L51" s="435" t="s">
        <v>51</v>
      </c>
      <c r="M51" s="435"/>
      <c r="N51" s="40"/>
      <c r="O51" s="225">
        <v>3000000</v>
      </c>
      <c r="P51" s="120"/>
    </row>
    <row r="52" spans="2:20" ht="15" customHeight="1" x14ac:dyDescent="0.25">
      <c r="B52" s="436" t="s">
        <v>55</v>
      </c>
      <c r="C52" s="437"/>
      <c r="D52" s="438"/>
      <c r="E52" s="99">
        <f>SUM(E41:E51)-E44-E50</f>
        <v>0</v>
      </c>
      <c r="F52" s="439" t="s">
        <v>56</v>
      </c>
      <c r="G52" s="440"/>
      <c r="H52" s="208">
        <v>25000000</v>
      </c>
      <c r="I52" s="196"/>
      <c r="J52" s="6"/>
      <c r="K52" s="411"/>
      <c r="L52" s="383" t="s">
        <v>52</v>
      </c>
      <c r="M52" s="213" t="s">
        <v>77</v>
      </c>
      <c r="N52" s="64"/>
      <c r="O52" s="282" t="s">
        <v>78</v>
      </c>
      <c r="P52" s="121" t="s">
        <v>53</v>
      </c>
    </row>
    <row r="53" spans="2:20" ht="15" customHeight="1" x14ac:dyDescent="0.25">
      <c r="B53" s="436" t="s">
        <v>36</v>
      </c>
      <c r="C53" s="437"/>
      <c r="D53" s="438"/>
      <c r="E53" s="441">
        <f>IF(E52&gt;H52,SUM(E27:E40)+E44+SUM(E50:E50)+H52,SUM(E27:E51))</f>
        <v>1500000</v>
      </c>
      <c r="F53" s="442"/>
      <c r="G53" s="442"/>
      <c r="H53" s="443"/>
      <c r="I53" s="197"/>
      <c r="J53" s="6"/>
      <c r="K53" s="411"/>
      <c r="L53" s="384"/>
      <c r="M53" s="123" t="s">
        <v>79</v>
      </c>
      <c r="N53" s="65"/>
      <c r="O53" s="124">
        <f>IF(N52=T43,IF(N53=U43,6000000,IF(N53=U44,10000000,IF(N53=U45,15000000,0))),0)</f>
        <v>0</v>
      </c>
      <c r="P53" s="125">
        <f>MAX(O53,O54,O55,O56)</f>
        <v>0</v>
      </c>
      <c r="R53" s="134"/>
    </row>
    <row r="54" spans="2:20" ht="14" x14ac:dyDescent="0.25">
      <c r="B54" s="444" t="s">
        <v>18</v>
      </c>
      <c r="C54" s="445"/>
      <c r="D54" s="446"/>
      <c r="E54" s="447">
        <f>MAX(E26-E53,0)</f>
        <v>0</v>
      </c>
      <c r="F54" s="447"/>
      <c r="G54" s="447"/>
      <c r="H54" s="448"/>
      <c r="I54" s="188"/>
      <c r="J54" s="6"/>
      <c r="K54" s="411"/>
      <c r="L54" s="384"/>
      <c r="M54" s="123" t="s">
        <v>80</v>
      </c>
      <c r="N54" s="65"/>
      <c r="O54" s="124">
        <f>IF(N52=T44,IF(N53=U44,10000000,IF(N53=U45,15000000,0)),0)</f>
        <v>0</v>
      </c>
      <c r="P54" s="127"/>
      <c r="R54" s="6"/>
      <c r="S54" s="6"/>
    </row>
    <row r="55" spans="2:20" ht="14" x14ac:dyDescent="0.25">
      <c r="B55" s="449" t="s">
        <v>19</v>
      </c>
      <c r="C55" s="450"/>
      <c r="D55" s="451"/>
      <c r="E55" s="452">
        <f>INT(IF(E54&gt;500000000,170600000+(E54-500000000)*0.4,IF(E54&gt;150000000,37600000+(E54-150000000)*0.38,IF(E54&gt;88000000,15900000+(E54-88000000)*0.35,IF(E54&gt;46000000,5820000+(E54-46000000)*0.24,IF(E54&gt;12000000,720000+(E54-12000000)*0.15,E54*0.06))))))</f>
        <v>0</v>
      </c>
      <c r="F55" s="452"/>
      <c r="G55" s="452"/>
      <c r="H55" s="453"/>
      <c r="I55" s="188"/>
      <c r="J55" s="6"/>
      <c r="K55" s="411"/>
      <c r="L55" s="384"/>
      <c r="M55" s="128" t="s">
        <v>81</v>
      </c>
      <c r="N55" s="66"/>
      <c r="O55" s="129">
        <f>IF(N52=T45,IF(OR(N53=U44,N53=U45),IF(OR(N54=V43,N55=W43),15000000,5000000),0),0)</f>
        <v>0</v>
      </c>
      <c r="P55" s="130"/>
      <c r="S55" s="6"/>
    </row>
    <row r="56" spans="2:20" ht="15" customHeight="1" x14ac:dyDescent="0.25">
      <c r="B56" s="454" t="s">
        <v>256</v>
      </c>
      <c r="C56" s="455"/>
      <c r="D56" s="456"/>
      <c r="E56" s="135" t="s">
        <v>68</v>
      </c>
      <c r="F56" s="60"/>
      <c r="G56" s="229" t="s">
        <v>85</v>
      </c>
      <c r="H56" s="230" t="s">
        <v>69</v>
      </c>
      <c r="I56" s="198"/>
      <c r="J56" s="6"/>
      <c r="K56" s="412"/>
      <c r="L56" s="385"/>
      <c r="M56" s="131" t="s">
        <v>82</v>
      </c>
      <c r="N56" s="67"/>
      <c r="O56" s="132">
        <f>IF(N52=T46,IF(AND(N53=U43,OR(N54=V43,N55=W43)),3000000,IF(OR(N53=U44,N53=U45),IF(AND(N54=V43,N55=W43),18000000,IF(OR(N54=V43,N55=W43),15000000,5000000)),0)),0)</f>
        <v>0</v>
      </c>
      <c r="P56" s="133"/>
    </row>
    <row r="57" spans="2:20" ht="15" customHeight="1" x14ac:dyDescent="0.25">
      <c r="B57" s="457"/>
      <c r="C57" s="458"/>
      <c r="D57" s="459"/>
      <c r="E57" s="136" t="s">
        <v>57</v>
      </c>
      <c r="F57" s="137"/>
      <c r="G57" s="138">
        <v>1500000</v>
      </c>
      <c r="H57" s="231">
        <f>IFERROR(IF(F57=0.7,MIN(G57,E55*(F56/E24)*F57),E55*(F56/E24)*F57),0)</f>
        <v>0</v>
      </c>
      <c r="I57" s="199"/>
      <c r="J57" s="6"/>
      <c r="K57" s="357" t="s">
        <v>86</v>
      </c>
      <c r="L57" s="482" t="s">
        <v>54</v>
      </c>
      <c r="M57" s="482"/>
      <c r="N57" s="30"/>
      <c r="O57" s="420">
        <f>E26</f>
        <v>0</v>
      </c>
      <c r="P57" s="421"/>
      <c r="R57" s="6"/>
      <c r="T57" s="6">
        <f>MIN(N35,O35)</f>
        <v>9000000</v>
      </c>
    </row>
    <row r="58" spans="2:20" ht="13.5" customHeight="1" x14ac:dyDescent="0.25">
      <c r="B58" s="494" t="s">
        <v>183</v>
      </c>
      <c r="C58" s="497" t="s">
        <v>184</v>
      </c>
      <c r="D58" s="498"/>
      <c r="E58" s="139">
        <f>IFERROR(IF(F57&gt;0,MIN(INT(IF(E55&gt;1300000,715000+(E55-1300000)*0.3,E55*0.55)),H58)*(1-H57/E55),MIN(INT(IF(E55&gt;1300000,715000+(E55-1300000)*0.3,E55*0.55)),H58)),0)</f>
        <v>0</v>
      </c>
      <c r="F58" s="499" t="s">
        <v>185</v>
      </c>
      <c r="G58" s="500"/>
      <c r="H58" s="140">
        <f>IF(E24&gt;70320000,500000,IF(E24&gt;70000000,660000-(E24-70000000)*0.5,IF(E24&gt;43000000,660000,IF(E24&gt;33000000,740000-(E24-33000000)*0.008,740000))))</f>
        <v>740000</v>
      </c>
      <c r="I58" s="200"/>
      <c r="J58" s="6"/>
      <c r="K58" s="358"/>
      <c r="L58" s="501" t="s">
        <v>186</v>
      </c>
      <c r="M58" s="501"/>
      <c r="N58" s="33"/>
      <c r="O58" s="515">
        <f>E26</f>
        <v>0</v>
      </c>
      <c r="P58" s="516"/>
      <c r="R58" s="6"/>
      <c r="T58" s="6"/>
    </row>
    <row r="59" spans="2:20" ht="13.5" customHeight="1" x14ac:dyDescent="0.25">
      <c r="B59" s="495"/>
      <c r="C59" s="427" t="s">
        <v>187</v>
      </c>
      <c r="D59" s="428"/>
      <c r="E59" s="141">
        <f>IF(F59&gt;=3,(F59-2)*300000+300000,F59*150000)</f>
        <v>0</v>
      </c>
      <c r="F59" s="29"/>
      <c r="G59" s="429" t="s">
        <v>231</v>
      </c>
      <c r="H59" s="430"/>
      <c r="I59" s="201"/>
      <c r="J59" s="6"/>
      <c r="K59" s="358"/>
      <c r="L59" s="504" t="s">
        <v>188</v>
      </c>
      <c r="M59" s="505"/>
      <c r="N59" s="33"/>
      <c r="O59" s="460">
        <f>INT((E26-IF(N57&lt;O57,N57,O57)-IF(N58&lt;O58,N58,O58))*0.3)</f>
        <v>0</v>
      </c>
      <c r="P59" s="461"/>
    </row>
    <row r="60" spans="2:20" ht="13.5" customHeight="1" x14ac:dyDescent="0.25">
      <c r="B60" s="495"/>
      <c r="C60" s="427" t="s">
        <v>189</v>
      </c>
      <c r="D60" s="428"/>
      <c r="E60" s="144">
        <f>IF(F60&gt;1,(F60-1)*150000,0)</f>
        <v>0</v>
      </c>
      <c r="F60" s="51"/>
      <c r="G60" s="468" t="s">
        <v>190</v>
      </c>
      <c r="H60" s="430"/>
      <c r="I60" s="201"/>
      <c r="J60" s="6"/>
      <c r="K60" s="358"/>
      <c r="L60" s="504" t="s">
        <v>191</v>
      </c>
      <c r="M60" s="505"/>
      <c r="N60" s="49"/>
      <c r="O60" s="460">
        <f>INT((E26-IF(N57&lt;O57,N57,O57)-IF(N58&lt;O58,N58,O58)-IF(N59&lt;O59,N59,O59))*0.3)</f>
        <v>0</v>
      </c>
      <c r="P60" s="474"/>
    </row>
    <row r="61" spans="2:20" ht="13.5" customHeight="1" x14ac:dyDescent="0.25">
      <c r="B61" s="495"/>
      <c r="C61" s="145"/>
      <c r="D61" s="236" t="s">
        <v>192</v>
      </c>
      <c r="E61" s="237">
        <f>IF(F61=U28,0,IF(H61=W31,0,IF(F61&gt;=3,IF(H61=W28,1500000+700000*(F61-3),IF(H61=W29,1900000+700000*(F61-3),IF(H61=W30,700000*F61))),IF(F61&gt;=2,IF(H61=W28,800000,IF(H61=W29,1200000,IF(H61=W30,1400000))),IF(F61&gt;=1,IF(H61=W28,300000,IF(H61=W29,500000,IF(H61=W30,700000))))))))</f>
        <v>0</v>
      </c>
      <c r="F61" s="51"/>
      <c r="G61" s="234" t="s">
        <v>238</v>
      </c>
      <c r="H61" s="235" t="s">
        <v>83</v>
      </c>
      <c r="I61" s="201"/>
      <c r="J61" s="6"/>
      <c r="K61" s="359"/>
      <c r="L61" s="475" t="s">
        <v>193</v>
      </c>
      <c r="M61" s="475"/>
      <c r="N61" s="48"/>
      <c r="O61" s="476">
        <f>INT((E26-IF(N57&lt;O57,N57,O57)-IF(N58&lt;O58,N58,O58)-IF(N59&lt;O59,N59,O59))*0.1)</f>
        <v>0</v>
      </c>
      <c r="P61" s="389"/>
    </row>
    <row r="62" spans="2:20" ht="13.5" customHeight="1" x14ac:dyDescent="0.25">
      <c r="B62" s="495"/>
      <c r="C62" s="506" t="s">
        <v>194</v>
      </c>
      <c r="D62" s="507"/>
      <c r="E62" s="146">
        <f>IF(E24&gt;55000000,INT(MIN(SUM(N77:N79),P79)*12%),INT(MIN(SUM(N77:N79),P79)*15%))</f>
        <v>0</v>
      </c>
      <c r="F62" s="381" t="s">
        <v>195</v>
      </c>
      <c r="G62" s="508"/>
      <c r="H62" s="382"/>
      <c r="I62" s="191"/>
      <c r="K62" s="410" t="s">
        <v>196</v>
      </c>
      <c r="L62" s="142" t="s">
        <v>38</v>
      </c>
      <c r="M62" s="143"/>
      <c r="N62" s="50"/>
      <c r="O62" s="379">
        <v>720000</v>
      </c>
      <c r="P62" s="380"/>
      <c r="Q62" s="212"/>
    </row>
    <row r="63" spans="2:20" ht="13.5" customHeight="1" x14ac:dyDescent="0.25">
      <c r="B63" s="495"/>
      <c r="C63" s="330" t="s">
        <v>197</v>
      </c>
      <c r="D63" s="218" t="s">
        <v>198</v>
      </c>
      <c r="E63" s="147">
        <f>INT(MIN(INT(N25),O25)*12%+MIN(INT(N26),O25)*15%)</f>
        <v>0</v>
      </c>
      <c r="F63" s="417" t="s">
        <v>199</v>
      </c>
      <c r="G63" s="418"/>
      <c r="H63" s="419"/>
      <c r="I63" s="201"/>
      <c r="K63" s="411"/>
      <c r="L63" s="268" t="s">
        <v>37</v>
      </c>
      <c r="M63" s="269"/>
      <c r="N63" s="270"/>
      <c r="O63" s="462">
        <f>IF(E24&gt;100000000,2000000,IF(E24&gt;40000000,3000000,5000000))</f>
        <v>5000000</v>
      </c>
      <c r="P63" s="463"/>
    </row>
    <row r="64" spans="2:20" ht="13.5" customHeight="1" x14ac:dyDescent="0.25">
      <c r="B64" s="495"/>
      <c r="C64" s="331"/>
      <c r="D64" s="242" t="s">
        <v>105</v>
      </c>
      <c r="E64" s="243">
        <f>IF(N27+N28+MIN(INT(N29),P29)+MIN(INT(N30),P29)+MIN(INT(O29),P29)+MIN(INT(O30),P29)+N31+MIN(INT(N32),P32)+MIN(INT(N33),P32)+MIN(INT(O32),P32)+MIN(INT(O33),P32)-P27&gt;0,(INT(MIN(N31+MIN(INT(N32),P32)+MIN(INT(N33),P32)+MIN(INT(O32),P32)+MIN(INT(O33),P32),O31))+N27+MIN(INT(N29),P29)+MIN(INT(N30),P29)+MIN(INT(O29),P29)+MIN(INT(O30),P29))*H64+N28*P28-P27*H64,0)</f>
        <v>0</v>
      </c>
      <c r="F64" s="464" t="s">
        <v>200</v>
      </c>
      <c r="G64" s="465"/>
      <c r="H64" s="149">
        <v>0.15</v>
      </c>
      <c r="I64" s="202"/>
      <c r="K64" s="411"/>
      <c r="L64" s="142" t="s">
        <v>201</v>
      </c>
      <c r="M64" s="143"/>
      <c r="N64" s="50"/>
      <c r="O64" s="174" t="s">
        <v>83</v>
      </c>
      <c r="P64" s="224">
        <f>IF(O64=T49,0,IF(O64=T50,E26*0.5,IF(O64=T51,E26*0.5,0)))</f>
        <v>0</v>
      </c>
      <c r="Q64" s="212"/>
    </row>
    <row r="65" spans="2:19" ht="13.5" customHeight="1" x14ac:dyDescent="0.25">
      <c r="B65" s="495"/>
      <c r="C65" s="331"/>
      <c r="D65" s="236" t="s">
        <v>202</v>
      </c>
      <c r="E65" s="243">
        <f>INT((N34+N46+MIN(1*N35,O35)+MIN(1*N36,O35)+MIN(1*N37,O35)+MIN(1*N38,O35)+MIN(1*N39,O35)+MIN(1*M41+MIN(1*N41,P43)+MIN(1*O41,P45),P41)+MIN(1*M42+MIN(1*N42,P43)+MIN(1*O42,P45),P41)+MIN(1*M43+MIN(1*N43,P43)+MIN(1*O43,P45),P41)+MIN(1*M44+MIN(1*N44,P43)+MIN(1*O44,P45),P41)+MIN(1*M45+MIN(1*N45,P43)+MIN(1*O45,P45),P41))*H65)</f>
        <v>0</v>
      </c>
      <c r="F65" s="464" t="s">
        <v>203</v>
      </c>
      <c r="G65" s="465"/>
      <c r="H65" s="149">
        <v>0.15</v>
      </c>
      <c r="I65" s="202"/>
      <c r="K65" s="411"/>
      <c r="L65" s="142" t="s">
        <v>40</v>
      </c>
      <c r="M65" s="143"/>
      <c r="N65" s="31"/>
      <c r="O65" s="466">
        <v>4000000</v>
      </c>
      <c r="P65" s="467"/>
    </row>
    <row r="66" spans="2:19" ht="13.5" customHeight="1" x14ac:dyDescent="0.25">
      <c r="B66" s="495"/>
      <c r="C66" s="331"/>
      <c r="D66" s="88" t="s">
        <v>204</v>
      </c>
      <c r="E66" s="148">
        <f>INT(IF(N57&gt;30000000,4485000+(N57-30000000)*0.25+10000000/110,IF(N57&gt;100000,(N57-100000)*0.15+10000000/110,IF(N57&gt;0,N57*(100/110)))))</f>
        <v>0</v>
      </c>
      <c r="F66" s="468" t="s">
        <v>205</v>
      </c>
      <c r="G66" s="429"/>
      <c r="H66" s="430"/>
      <c r="I66" s="201"/>
      <c r="K66" s="411"/>
      <c r="L66" s="142" t="s">
        <v>39</v>
      </c>
      <c r="M66" s="143"/>
      <c r="N66" s="31"/>
      <c r="O66" s="466">
        <v>10000000</v>
      </c>
      <c r="P66" s="467"/>
      <c r="Q66" s="212"/>
    </row>
    <row r="67" spans="2:19" ht="13.5" customHeight="1" x14ac:dyDescent="0.25">
      <c r="B67" s="495"/>
      <c r="C67" s="331"/>
      <c r="D67" s="88" t="s">
        <v>206</v>
      </c>
      <c r="E67" s="148">
        <f>INT(IF(IF(N60+N61&gt;O60,O60,MIN(INT(N60),O60)+MIN(INT(N61),O61))+MIN(INT(N59),O59)+MIN(INT(N58),O58)&gt;20000000,(IF(N60+N61&gt;O60,O60,MIN(INT(N60),O60)+MIN(INT(N61),O61))+MIN(INT(N59),O59)+MIN(INT(N58),O58)-20000000)*0.3+20000000*0.15,(IF(N60+N61&gt;O60,O60,MIN(INT(N60),O60)+MIN(INT(N61),O61))+MIN(INT(N59),O59)+MIN(INT(N58),O58))*0.15))</f>
        <v>0</v>
      </c>
      <c r="F67" s="468" t="s">
        <v>207</v>
      </c>
      <c r="G67" s="429"/>
      <c r="H67" s="430"/>
      <c r="I67" s="203"/>
      <c r="K67" s="412"/>
      <c r="L67" s="477" t="s">
        <v>208</v>
      </c>
      <c r="M67" s="478"/>
      <c r="N67" s="31"/>
      <c r="O67" s="150" t="s">
        <v>209</v>
      </c>
      <c r="P67" s="177">
        <v>2400000</v>
      </c>
    </row>
    <row r="68" spans="2:19" ht="13.5" customHeight="1" x14ac:dyDescent="0.25">
      <c r="B68" s="495"/>
      <c r="C68" s="332"/>
      <c r="D68" s="223" t="s">
        <v>210</v>
      </c>
      <c r="E68" s="146">
        <f>IF(SUM(E63:E67)+SUM(E38:E42)&gt;0,0,130000)</f>
        <v>130000</v>
      </c>
      <c r="F68" s="479" t="s">
        <v>211</v>
      </c>
      <c r="G68" s="480"/>
      <c r="H68" s="481"/>
      <c r="I68" s="201"/>
      <c r="K68" s="422" t="s">
        <v>253</v>
      </c>
      <c r="L68" s="151" t="s">
        <v>212</v>
      </c>
      <c r="M68" s="152">
        <v>0.25</v>
      </c>
      <c r="N68" s="153">
        <f>INT(E24*M68)</f>
        <v>0</v>
      </c>
      <c r="O68" s="263" t="s">
        <v>260</v>
      </c>
      <c r="P68" s="264">
        <f>IF(E24&gt;120000000,2000000,IF(E24&gt;70000000,3000000,MIN(E24*20%,3000000)))</f>
        <v>0</v>
      </c>
    </row>
    <row r="69" spans="2:19" ht="13.5" customHeight="1" x14ac:dyDescent="0.25">
      <c r="B69" s="495"/>
      <c r="C69" s="400" t="s">
        <v>213</v>
      </c>
      <c r="D69" s="401"/>
      <c r="E69" s="147">
        <f>INT(N80*P80)</f>
        <v>0</v>
      </c>
      <c r="F69" s="417" t="s">
        <v>214</v>
      </c>
      <c r="G69" s="418"/>
      <c r="H69" s="419"/>
      <c r="I69" s="201"/>
      <c r="J69" s="212"/>
      <c r="K69" s="423"/>
      <c r="L69" s="517" t="s">
        <v>258</v>
      </c>
      <c r="M69" s="213" t="s">
        <v>220</v>
      </c>
      <c r="N69" s="274"/>
      <c r="O69" s="283"/>
      <c r="P69" s="278" t="s">
        <v>261</v>
      </c>
      <c r="S69" s="6"/>
    </row>
    <row r="70" spans="2:19" ht="13.5" customHeight="1" x14ac:dyDescent="0.25">
      <c r="B70" s="495"/>
      <c r="C70" s="406" t="s">
        <v>215</v>
      </c>
      <c r="D70" s="407"/>
      <c r="E70" s="154">
        <f>INT(N81*P81)</f>
        <v>0</v>
      </c>
      <c r="F70" s="460" t="s">
        <v>216</v>
      </c>
      <c r="G70" s="473"/>
      <c r="H70" s="461"/>
      <c r="I70" s="190"/>
      <c r="K70" s="423"/>
      <c r="L70" s="518"/>
      <c r="M70" s="209" t="s">
        <v>222</v>
      </c>
      <c r="N70" s="275"/>
      <c r="O70" s="276"/>
      <c r="P70" s="279">
        <f>IF(N73&gt;=N68,INT(N68*P73),IF(N73+N74&gt;N68,INT(O73+(N68-N73)*P74),IF(SUM(N73:N76)&gt;N68,INT(O73+O74+(N68-N73-N74)*P75),0)))</f>
        <v>0</v>
      </c>
      <c r="S70" s="6"/>
    </row>
    <row r="71" spans="2:19" ht="13.5" customHeight="1" x14ac:dyDescent="0.25">
      <c r="B71" s="495"/>
      <c r="C71" s="406" t="s">
        <v>217</v>
      </c>
      <c r="D71" s="407"/>
      <c r="E71" s="154">
        <f>MIN(INT(N82),IF(E26&gt;0,E55*(P82/E26),0))</f>
        <v>0</v>
      </c>
      <c r="F71" s="468" t="s">
        <v>218</v>
      </c>
      <c r="G71" s="429"/>
      <c r="H71" s="430"/>
      <c r="I71" s="201"/>
      <c r="K71" s="423"/>
      <c r="L71" s="518"/>
      <c r="M71" s="209" t="s">
        <v>224</v>
      </c>
      <c r="N71" s="275"/>
      <c r="O71" s="276"/>
      <c r="P71" s="280" t="s">
        <v>262</v>
      </c>
      <c r="S71" s="6"/>
    </row>
    <row r="72" spans="2:19" ht="13.5" customHeight="1" thickBot="1" x14ac:dyDescent="0.3">
      <c r="B72" s="496"/>
      <c r="C72" s="469" t="s">
        <v>219</v>
      </c>
      <c r="D72" s="470"/>
      <c r="E72" s="155">
        <f>IF(E24&lt;70000000,INT(MIN(INT(N83),P83)*H72),0)</f>
        <v>0</v>
      </c>
      <c r="F72" s="471" t="s">
        <v>255</v>
      </c>
      <c r="G72" s="472"/>
      <c r="H72" s="266">
        <v>0.1</v>
      </c>
      <c r="I72" s="202"/>
      <c r="K72" s="423"/>
      <c r="L72" s="519"/>
      <c r="M72" s="210" t="s">
        <v>226</v>
      </c>
      <c r="N72" s="277"/>
      <c r="O72" s="284"/>
      <c r="P72" s="281">
        <f>IF(SUM(N73:N76)&gt;N68,MAX(O73+O74+O75+O76-P70,0),0)</f>
        <v>0</v>
      </c>
    </row>
    <row r="73" spans="2:19" ht="13.5" customHeight="1" thickBot="1" x14ac:dyDescent="0.3">
      <c r="B73" s="21"/>
      <c r="C73" s="35"/>
      <c r="D73" s="35"/>
      <c r="E73" s="36"/>
      <c r="F73" s="37"/>
      <c r="G73" s="37"/>
      <c r="H73" s="38"/>
      <c r="I73" s="202"/>
      <c r="K73" s="423"/>
      <c r="L73" s="417" t="s">
        <v>228</v>
      </c>
      <c r="M73" s="546"/>
      <c r="N73" s="156">
        <f>N69+O69</f>
        <v>0</v>
      </c>
      <c r="O73" s="157">
        <f>N73*P73</f>
        <v>0</v>
      </c>
      <c r="P73" s="158">
        <v>0.15</v>
      </c>
      <c r="Q73" s="273"/>
      <c r="S73" s="273"/>
    </row>
    <row r="74" spans="2:19" ht="13.5" customHeight="1" x14ac:dyDescent="0.25">
      <c r="B74" s="558" t="s">
        <v>221</v>
      </c>
      <c r="C74" s="559"/>
      <c r="D74" s="560"/>
      <c r="E74" s="483">
        <f>MAX(E55-H57-SUM(E58:E72),0)</f>
        <v>0</v>
      </c>
      <c r="F74" s="484"/>
      <c r="G74" s="485"/>
      <c r="H74" s="486">
        <f>E74+E75</f>
        <v>0</v>
      </c>
      <c r="I74" s="204"/>
      <c r="K74" s="423"/>
      <c r="L74" s="468" t="s">
        <v>229</v>
      </c>
      <c r="M74" s="557"/>
      <c r="N74" s="159">
        <f>N70+O70</f>
        <v>0</v>
      </c>
      <c r="O74" s="160">
        <f>N74*P74</f>
        <v>0</v>
      </c>
      <c r="P74" s="161">
        <v>0.3</v>
      </c>
      <c r="Q74" s="273"/>
      <c r="S74" s="273"/>
    </row>
    <row r="75" spans="2:19" ht="13.5" customHeight="1" thickBot="1" x14ac:dyDescent="0.3">
      <c r="B75" s="488" t="s">
        <v>41</v>
      </c>
      <c r="C75" s="489"/>
      <c r="D75" s="490"/>
      <c r="E75" s="491">
        <f>INT(E74*0.1)</f>
        <v>0</v>
      </c>
      <c r="F75" s="492"/>
      <c r="G75" s="493"/>
      <c r="H75" s="487"/>
      <c r="I75" s="204"/>
      <c r="K75" s="423"/>
      <c r="L75" s="502" t="s">
        <v>31</v>
      </c>
      <c r="M75" s="503"/>
      <c r="N75" s="162">
        <f>N71+O71</f>
        <v>0</v>
      </c>
      <c r="O75" s="163">
        <f>N75*P75</f>
        <v>0</v>
      </c>
      <c r="P75" s="265">
        <v>0.4</v>
      </c>
      <c r="S75" s="273"/>
    </row>
    <row r="76" spans="2:19" ht="13.5" customHeight="1" thickBot="1" x14ac:dyDescent="0.3">
      <c r="B76" s="22"/>
      <c r="C76" s="22"/>
      <c r="D76" s="22"/>
      <c r="E76" s="23"/>
      <c r="F76" s="23"/>
      <c r="G76" s="23"/>
      <c r="H76" s="23"/>
      <c r="I76" s="205"/>
      <c r="K76" s="424"/>
      <c r="L76" s="479" t="s">
        <v>30</v>
      </c>
      <c r="M76" s="509"/>
      <c r="N76" s="164">
        <f>N72+O72</f>
        <v>0</v>
      </c>
      <c r="O76" s="165">
        <f>N76*P75</f>
        <v>0</v>
      </c>
      <c r="P76" s="166">
        <v>1000000</v>
      </c>
    </row>
    <row r="77" spans="2:19" ht="13.5" customHeight="1" x14ac:dyDescent="0.25">
      <c r="B77" s="520" t="s">
        <v>223</v>
      </c>
      <c r="C77" s="521"/>
      <c r="D77" s="522"/>
      <c r="E77" s="528">
        <f>ROUNDDOWN(E74-N84,-1)</f>
        <v>0</v>
      </c>
      <c r="F77" s="529"/>
      <c r="G77" s="530"/>
      <c r="H77" s="531">
        <f>E77+E78+E79</f>
        <v>0</v>
      </c>
      <c r="I77" s="204"/>
      <c r="K77" s="510" t="s">
        <v>42</v>
      </c>
      <c r="L77" s="513" t="s">
        <v>58</v>
      </c>
      <c r="M77" s="213" t="s">
        <v>60</v>
      </c>
      <c r="N77" s="52"/>
      <c r="O77" s="167" t="s">
        <v>70</v>
      </c>
      <c r="P77" s="217">
        <v>3000000</v>
      </c>
      <c r="Q77" s="273"/>
    </row>
    <row r="78" spans="2:19" ht="13.5" customHeight="1" x14ac:dyDescent="0.25">
      <c r="B78" s="534" t="s">
        <v>225</v>
      </c>
      <c r="C78" s="535"/>
      <c r="D78" s="536"/>
      <c r="E78" s="537">
        <f>ROUNDDOWN(E75-N85,-1)</f>
        <v>0</v>
      </c>
      <c r="F78" s="538"/>
      <c r="G78" s="539"/>
      <c r="H78" s="532"/>
      <c r="I78" s="204"/>
      <c r="K78" s="511"/>
      <c r="L78" s="514"/>
      <c r="M78" s="209" t="s">
        <v>61</v>
      </c>
      <c r="N78" s="53"/>
      <c r="O78" s="238" t="s">
        <v>71</v>
      </c>
      <c r="P78" s="239">
        <f>IF(E24&gt;120000000,3000000,4000000)</f>
        <v>4000000</v>
      </c>
    </row>
    <row r="79" spans="2:19" ht="13.5" customHeight="1" thickBot="1" x14ac:dyDescent="0.3">
      <c r="B79" s="540" t="s">
        <v>227</v>
      </c>
      <c r="C79" s="541"/>
      <c r="D79" s="542"/>
      <c r="E79" s="543">
        <f>E70*0.2</f>
        <v>0</v>
      </c>
      <c r="F79" s="544"/>
      <c r="G79" s="545"/>
      <c r="H79" s="533"/>
      <c r="I79" s="204"/>
      <c r="K79" s="511"/>
      <c r="L79" s="327"/>
      <c r="M79" s="210" t="s">
        <v>230</v>
      </c>
      <c r="N79" s="54"/>
      <c r="O79" s="168" t="s">
        <v>72</v>
      </c>
      <c r="P79" s="169">
        <f>IF(SUM(N77:N79)&gt;P78,MIN(MIN(N78+N79,P78)+N77,P78+P77),SUM(N77:N79))</f>
        <v>0</v>
      </c>
    </row>
    <row r="80" spans="2:19" ht="13.5" customHeight="1" x14ac:dyDescent="0.25">
      <c r="C80" s="25"/>
      <c r="E80" s="6"/>
      <c r="F80" s="26"/>
      <c r="I80" s="206"/>
      <c r="K80" s="511"/>
      <c r="L80" s="525" t="s">
        <v>59</v>
      </c>
      <c r="M80" s="526"/>
      <c r="N80" s="55"/>
      <c r="O80" s="170" t="s">
        <v>62</v>
      </c>
      <c r="P80" s="171">
        <v>0.1</v>
      </c>
    </row>
    <row r="81" spans="3:18" ht="13.5" customHeight="1" x14ac:dyDescent="0.25">
      <c r="C81" s="27"/>
      <c r="G81" s="212"/>
      <c r="I81" s="206"/>
      <c r="K81" s="511"/>
      <c r="L81" s="525" t="s">
        <v>63</v>
      </c>
      <c r="M81" s="526"/>
      <c r="N81" s="55"/>
      <c r="O81" s="170" t="s">
        <v>64</v>
      </c>
      <c r="P81" s="171">
        <v>0.3</v>
      </c>
    </row>
    <row r="82" spans="3:18" ht="13.5" customHeight="1" x14ac:dyDescent="0.25">
      <c r="C82" s="27"/>
      <c r="E82" s="212"/>
      <c r="F82" s="6"/>
      <c r="G82" s="212"/>
      <c r="I82" s="206"/>
      <c r="K82" s="511"/>
      <c r="L82" s="525" t="s">
        <v>65</v>
      </c>
      <c r="M82" s="527"/>
      <c r="N82" s="55"/>
      <c r="O82" s="172" t="s">
        <v>66</v>
      </c>
      <c r="P82" s="24"/>
    </row>
    <row r="83" spans="3:18" ht="13.5" customHeight="1" x14ac:dyDescent="0.25">
      <c r="C83" s="27"/>
      <c r="I83" s="206"/>
      <c r="K83" s="512"/>
      <c r="L83" s="547" t="s">
        <v>254</v>
      </c>
      <c r="M83" s="548"/>
      <c r="N83" s="55"/>
      <c r="O83" s="172" t="s">
        <v>67</v>
      </c>
      <c r="P83" s="226">
        <v>7500000</v>
      </c>
    </row>
    <row r="84" spans="3:18" ht="13.5" customHeight="1" x14ac:dyDescent="0.25">
      <c r="C84" s="523"/>
      <c r="D84" s="523"/>
      <c r="E84" s="524"/>
      <c r="F84" s="523"/>
      <c r="G84" s="523"/>
      <c r="H84" s="212"/>
      <c r="I84" s="207"/>
      <c r="K84" s="549" t="s">
        <v>16</v>
      </c>
      <c r="L84" s="550"/>
      <c r="M84" s="550"/>
      <c r="N84" s="153">
        <f>I21</f>
        <v>0</v>
      </c>
      <c r="O84" s="551"/>
      <c r="P84" s="552"/>
      <c r="R84" s="6"/>
    </row>
    <row r="85" spans="3:18" ht="13.5" customHeight="1" thickBot="1" x14ac:dyDescent="0.3">
      <c r="F85" s="212"/>
      <c r="I85" s="206"/>
      <c r="K85" s="555" t="s">
        <v>17</v>
      </c>
      <c r="L85" s="556"/>
      <c r="M85" s="556"/>
      <c r="N85" s="173">
        <f>J21</f>
        <v>0</v>
      </c>
      <c r="O85" s="553"/>
      <c r="P85" s="554"/>
    </row>
    <row r="86" spans="3:18" ht="13.5" customHeight="1" x14ac:dyDescent="0.25">
      <c r="F86" s="212"/>
      <c r="I86" s="206"/>
      <c r="K86" s="6"/>
      <c r="L86" s="6"/>
      <c r="M86" s="6"/>
      <c r="N86" s="6"/>
      <c r="O86" s="6"/>
    </row>
    <row r="87" spans="3:18" ht="13.5" customHeight="1" x14ac:dyDescent="0.25">
      <c r="I87" s="206"/>
      <c r="K87" s="6"/>
      <c r="L87" s="6"/>
      <c r="M87" s="6"/>
      <c r="N87" s="6"/>
      <c r="O87" s="6"/>
      <c r="R87" s="273"/>
    </row>
    <row r="88" spans="3:18" ht="13.5" customHeight="1" x14ac:dyDescent="0.25">
      <c r="K88" s="6"/>
      <c r="L88" s="6"/>
      <c r="M88" s="6"/>
      <c r="N88" s="6"/>
      <c r="O88" s="6"/>
    </row>
    <row r="89" spans="3:18" ht="13.5" customHeight="1" x14ac:dyDescent="0.25">
      <c r="K89" s="6"/>
      <c r="L89" s="6"/>
      <c r="M89" s="6"/>
      <c r="N89" s="6"/>
      <c r="O89" s="6"/>
    </row>
    <row r="90" spans="3:18" ht="13.5" customHeight="1" x14ac:dyDescent="0.25">
      <c r="K90" s="6"/>
      <c r="L90" s="6"/>
      <c r="M90" s="6"/>
      <c r="N90" s="6"/>
      <c r="O90" s="6"/>
    </row>
    <row r="91" spans="3:18" ht="13.5" customHeight="1" x14ac:dyDescent="0.25">
      <c r="K91" s="6"/>
      <c r="L91" s="6"/>
      <c r="M91" s="6"/>
      <c r="N91" s="6"/>
      <c r="O91" s="6"/>
    </row>
    <row r="92" spans="3:18" ht="13.5" customHeight="1" x14ac:dyDescent="0.25">
      <c r="K92" s="6"/>
      <c r="L92" s="6"/>
      <c r="M92" s="6"/>
      <c r="N92" s="6"/>
      <c r="O92" s="6"/>
    </row>
    <row r="93" spans="3:18" ht="13.5" customHeight="1" x14ac:dyDescent="0.25">
      <c r="K93" s="6"/>
      <c r="L93" s="6"/>
      <c r="M93" s="6"/>
      <c r="N93" s="28"/>
      <c r="O93" s="6"/>
    </row>
    <row r="94" spans="3:18" x14ac:dyDescent="0.25">
      <c r="K94" s="6"/>
      <c r="L94" s="6"/>
      <c r="M94" s="6"/>
      <c r="N94" s="6"/>
      <c r="O94" s="6"/>
    </row>
    <row r="95" spans="3:18" x14ac:dyDescent="0.25">
      <c r="K95" s="6"/>
      <c r="L95" s="6"/>
      <c r="M95" s="6"/>
      <c r="N95" s="6"/>
      <c r="O95" s="6"/>
    </row>
    <row r="96" spans="3:18" x14ac:dyDescent="0.25">
      <c r="K96" s="6"/>
      <c r="L96" s="6"/>
      <c r="M96" s="6"/>
      <c r="N96" s="6"/>
      <c r="O96" s="6"/>
    </row>
    <row r="97" spans="11:15" x14ac:dyDescent="0.25">
      <c r="K97" s="6"/>
      <c r="L97" s="6"/>
      <c r="M97" s="6"/>
      <c r="N97" s="6"/>
      <c r="O97" s="6"/>
    </row>
    <row r="103" spans="11:15" x14ac:dyDescent="0.25">
      <c r="O103" s="20"/>
    </row>
  </sheetData>
  <mergeCells count="166">
    <mergeCell ref="L76:M76"/>
    <mergeCell ref="K77:K83"/>
    <mergeCell ref="L77:L79"/>
    <mergeCell ref="O58:P58"/>
    <mergeCell ref="L69:L72"/>
    <mergeCell ref="B77:D77"/>
    <mergeCell ref="C84:D84"/>
    <mergeCell ref="E84:G84"/>
    <mergeCell ref="L80:M80"/>
    <mergeCell ref="L81:M81"/>
    <mergeCell ref="L82:M82"/>
    <mergeCell ref="E77:G77"/>
    <mergeCell ref="H77:H79"/>
    <mergeCell ref="B78:D78"/>
    <mergeCell ref="E78:G78"/>
    <mergeCell ref="B79:D79"/>
    <mergeCell ref="E79:G79"/>
    <mergeCell ref="L73:M73"/>
    <mergeCell ref="L83:M83"/>
    <mergeCell ref="K84:M84"/>
    <mergeCell ref="O84:P85"/>
    <mergeCell ref="K85:M85"/>
    <mergeCell ref="L74:M74"/>
    <mergeCell ref="B74:D74"/>
    <mergeCell ref="E74:G74"/>
    <mergeCell ref="H74:H75"/>
    <mergeCell ref="B75:D75"/>
    <mergeCell ref="E75:G75"/>
    <mergeCell ref="B58:B72"/>
    <mergeCell ref="C58:D58"/>
    <mergeCell ref="F58:G58"/>
    <mergeCell ref="L58:M58"/>
    <mergeCell ref="L75:M75"/>
    <mergeCell ref="L59:M59"/>
    <mergeCell ref="G60:H60"/>
    <mergeCell ref="L60:M60"/>
    <mergeCell ref="C62:D62"/>
    <mergeCell ref="F62:H62"/>
    <mergeCell ref="K62:K67"/>
    <mergeCell ref="O59:P59"/>
    <mergeCell ref="O63:P63"/>
    <mergeCell ref="F64:G64"/>
    <mergeCell ref="F65:G65"/>
    <mergeCell ref="O65:P65"/>
    <mergeCell ref="F66:H66"/>
    <mergeCell ref="C72:D72"/>
    <mergeCell ref="F72:G72"/>
    <mergeCell ref="C70:D70"/>
    <mergeCell ref="F70:H70"/>
    <mergeCell ref="C71:D71"/>
    <mergeCell ref="F71:H71"/>
    <mergeCell ref="O66:P66"/>
    <mergeCell ref="O60:P60"/>
    <mergeCell ref="L61:M61"/>
    <mergeCell ref="O61:P61"/>
    <mergeCell ref="F67:H67"/>
    <mergeCell ref="L67:M67"/>
    <mergeCell ref="F68:H68"/>
    <mergeCell ref="C69:D69"/>
    <mergeCell ref="F69:H69"/>
    <mergeCell ref="K57:K61"/>
    <mergeCell ref="L57:M57"/>
    <mergeCell ref="C60:D60"/>
    <mergeCell ref="O62:P62"/>
    <mergeCell ref="C63:C68"/>
    <mergeCell ref="F63:H63"/>
    <mergeCell ref="O57:P57"/>
    <mergeCell ref="K68:K76"/>
    <mergeCell ref="F49:H49"/>
    <mergeCell ref="C50:D50"/>
    <mergeCell ref="F50:G50"/>
    <mergeCell ref="C59:D59"/>
    <mergeCell ref="G59:H59"/>
    <mergeCell ref="C51:D51"/>
    <mergeCell ref="F51:G51"/>
    <mergeCell ref="K51:K56"/>
    <mergeCell ref="L51:M51"/>
    <mergeCell ref="B52:D52"/>
    <mergeCell ref="F52:G52"/>
    <mergeCell ref="L52:L56"/>
    <mergeCell ref="B53:D53"/>
    <mergeCell ref="E53:H53"/>
    <mergeCell ref="B54:D54"/>
    <mergeCell ref="E54:H54"/>
    <mergeCell ref="B55:D55"/>
    <mergeCell ref="E55:H55"/>
    <mergeCell ref="B56:D57"/>
    <mergeCell ref="O34:P34"/>
    <mergeCell ref="G36:H36"/>
    <mergeCell ref="L40:L45"/>
    <mergeCell ref="L46:M46"/>
    <mergeCell ref="O46:P46"/>
    <mergeCell ref="B27:B36"/>
    <mergeCell ref="C27:C32"/>
    <mergeCell ref="H27:H32"/>
    <mergeCell ref="C43:D43"/>
    <mergeCell ref="F43:H43"/>
    <mergeCell ref="B44:B51"/>
    <mergeCell ref="C44:D44"/>
    <mergeCell ref="F44:G44"/>
    <mergeCell ref="C45:D45"/>
    <mergeCell ref="F45:G45"/>
    <mergeCell ref="C46:D46"/>
    <mergeCell ref="F46:G46"/>
    <mergeCell ref="C47:D47"/>
    <mergeCell ref="F47:G47"/>
    <mergeCell ref="K47:K50"/>
    <mergeCell ref="L47:L50"/>
    <mergeCell ref="C48:D48"/>
    <mergeCell ref="F48:G48"/>
    <mergeCell ref="C49:D49"/>
    <mergeCell ref="O31:P31"/>
    <mergeCell ref="M32:M33"/>
    <mergeCell ref="P32:P33"/>
    <mergeCell ref="C33:C36"/>
    <mergeCell ref="B25:D25"/>
    <mergeCell ref="E25:H25"/>
    <mergeCell ref="K25:L26"/>
    <mergeCell ref="O25:P26"/>
    <mergeCell ref="B26:D26"/>
    <mergeCell ref="E26:H26"/>
    <mergeCell ref="K27:K33"/>
    <mergeCell ref="M29:M30"/>
    <mergeCell ref="P29:P30"/>
    <mergeCell ref="L34:M34"/>
    <mergeCell ref="L35:M39"/>
    <mergeCell ref="K34:K46"/>
    <mergeCell ref="O35:P39"/>
    <mergeCell ref="B37:D37"/>
    <mergeCell ref="G37:G40"/>
    <mergeCell ref="B38:B43"/>
    <mergeCell ref="C38:C40"/>
    <mergeCell ref="C41:C42"/>
    <mergeCell ref="F41:G41"/>
    <mergeCell ref="F42:G42"/>
    <mergeCell ref="B22:R22"/>
    <mergeCell ref="B24:D24"/>
    <mergeCell ref="E24:H24"/>
    <mergeCell ref="K24:M24"/>
    <mergeCell ref="O24:P24"/>
    <mergeCell ref="B14:C14"/>
    <mergeCell ref="B15:C15"/>
    <mergeCell ref="B16:C16"/>
    <mergeCell ref="B17:C17"/>
    <mergeCell ref="B18:C18"/>
    <mergeCell ref="B19:C19"/>
    <mergeCell ref="B20:C20"/>
    <mergeCell ref="B21:C21"/>
    <mergeCell ref="H4:J4"/>
    <mergeCell ref="L4:P4"/>
    <mergeCell ref="B6:P6"/>
    <mergeCell ref="B1:P1"/>
    <mergeCell ref="B3:C3"/>
    <mergeCell ref="D3:E3"/>
    <mergeCell ref="F3:G3"/>
    <mergeCell ref="H3:J3"/>
    <mergeCell ref="L3:P3"/>
    <mergeCell ref="B8:C8"/>
    <mergeCell ref="B9:C9"/>
    <mergeCell ref="B10:C10"/>
    <mergeCell ref="B11:C11"/>
    <mergeCell ref="B12:C12"/>
    <mergeCell ref="B13:C13"/>
    <mergeCell ref="B4:C4"/>
    <mergeCell ref="D4:E4"/>
    <mergeCell ref="F4:G4"/>
  </mergeCells>
  <phoneticPr fontId="2" type="noConversion"/>
  <dataValidations xWindow="973" yWindow="1492" count="39">
    <dataValidation type="whole" operator="greaterThanOrEqual" allowBlank="1" showInputMessage="1" showErrorMessage="1" sqref="N65:N66 E59:E62 N82:N83 N73:N80 N56:N63 N50 N31 N29:O30 N32:O33 E43 F56 N25:N28 M41:O45 N41:N47 N34:N39">
      <formula1>0</formula1>
    </dataValidation>
    <dataValidation type="list" allowBlank="1" showInputMessage="1" showErrorMessage="1" prompt="2017년 출생 자녀·입양자 수" sqref="F61">
      <formula1>$U$28:$U$37</formula1>
    </dataValidation>
    <dataValidation type="list" allowBlank="1" showInputMessage="1" showErrorMessage="1" promptTitle="감면율을 선택하세요" prompt="29세↓, 60세↑, 장애인, 경력단절여성_x000a_16년 이후 입사 : 70%_x000a_14~15년 입사 : 50%_x000a_14년 이전 입사 : 100%_x000a_※ 3년간 소득세 감면" sqref="F57">
      <formula1>$V$28:$V$31</formula1>
    </dataValidation>
    <dataValidation type="whole" allowBlank="1" showInputMessage="1" showErrorMessage="1" sqref="D9:O20">
      <formula1>-100000000</formula1>
      <formula2>100000000</formula2>
    </dataValidation>
    <dataValidation type="list" allowBlank="1" showInputMessage="1" showErrorMessage="1" promptTitle="공제해당 여부 선택" prompt="○ : 공제가능, X : 공제불가_x000a_ - 배우자 없고, 만20세_x000a_   이하의 자녀를_x000a_   부양가족공제_x000a_   받는 근로자_x000a_ - 부녀자공제와_x000a_   중복공제 불가" sqref="F36">
      <formula1>$T$28:$T$29</formula1>
    </dataValidation>
    <dataValidation allowBlank="1" showErrorMessage="1" promptTitle="공제율을 선택하세요." prompt="  기본 : 10%_x000a_직접 조합을 통해 벤처에 투자한 경우_x000a_   1500만원↓ : 100%_x000a_   5천만원 ↓ : 50%_x000a_   5천만원 ↑ : 30%" sqref="F47:G47"/>
    <dataValidation type="list" allowBlank="1" showInputMessage="1" showErrorMessage="1" promptTitle="배우자 공제" prompt="○ : 공제가능_x000a_X : 공제불가" sqref="F28">
      <formula1>$T$28:$T$29</formula1>
    </dataValidation>
    <dataValidation type="list" allowBlank="1" showInputMessage="1" showErrorMessage="1" promptTitle="공제대상" prompt="만20세 이하_x000a_’97.1.1 이후" sqref="F30">
      <formula1>$U$28:$U$37</formula1>
    </dataValidation>
    <dataValidation type="list" allowBlank="1" showInputMessage="1" showErrorMessage="1" promptTitle="공제대상" prompt="- 부모,장인장모_x000a_  시부모,조부모 _x000a_- 만60세 이상_x000a_  (’57.12.31 이전 출생)_x000a_- 따로 살아도 공제가능" sqref="F29">
      <formula1>$U$28:$U$37</formula1>
    </dataValidation>
    <dataValidation type="list" allowBlank="1" showInputMessage="1" showErrorMessage="1" promptTitle="공제대상" prompt="동생, 처남, 처제포함_x000a_동거자에 한함._x000a_60세 이상 (’57.12.31↓)_x000a_20세 이하(’97.1.1 ↑)" sqref="F31">
      <formula1>$U$28:$U$37</formula1>
    </dataValidation>
    <dataValidation type="list" allowBlank="1" showInputMessage="1" showErrorMessage="1" promptTitle="공제대상" prompt="18세 미만_x000a_’00.1.1 이후출생" sqref="F32">
      <formula1>$U$28:$U$37</formula1>
    </dataValidation>
    <dataValidation type="list" allowBlank="1" showInputMessage="1" showErrorMessage="1" promptTitle="공제요건" prompt="’47.12.31 이전 출생" sqref="F33">
      <formula1>$U$28:$U$37</formula1>
    </dataValidation>
    <dataValidation type="list" allowBlank="1" showInputMessage="1" showErrorMessage="1" promptTitle="공제요건" prompt="암, 중풍 등 중병환자도 장애인공제 가능" sqref="F34">
      <formula1>$U$28:$U$37</formula1>
    </dataValidation>
    <dataValidation type="list" allowBlank="1" showInputMessage="1" showErrorMessage="1" promptTitle="공제해당 여부 선택" prompt="○ : 공제가능, X : 공제불가_x000a_  1.배우자 있는 여성(남편소득무관)_x000a_      총급여 41,470,588↓_x000a_      (근로소득금액이 3천↓)_x000a_  2. 배우자가 없는 여성_x000a_     부양가족이 있는 세대주" sqref="F35">
      <formula1>$T$28:$T$29</formula1>
    </dataValidation>
    <dataValidation allowBlank="1" showInputMessage="1" showErrorMessage="1" promptTitle="납부액을 모를 경우" prompt="총급여액 x 4.5%_x000a_단 총급여 5,052만원_x000a_이상시 5052x4.5%_x000a_  = 2,273,400" sqref="H37"/>
    <dataValidation allowBlank="1" showInputMessage="1" showErrorMessage="1" promptTitle="납부액을 모를경우" prompt="총급여×3.060%" sqref="H38"/>
    <dataValidation allowBlank="1" showInputMessage="1" showErrorMessage="1" promptTitle="납부액을 모를 경우" prompt="총급여×6.07%×6.55%×50%" sqref="H39"/>
    <dataValidation allowBlank="1" showInputMessage="1" showErrorMessage="1" promptTitle="납부액을 모를 경우" prompt="총급여 x 0.65%" sqref="H40"/>
    <dataValidation type="list" allowBlank="1" showInputMessage="1" showErrorMessage="1" promptTitle="공제요건" prompt="6세 이하_x000a_(2011.1.1이후 출생 자녀)" sqref="F60">
      <formula1>$U$28:$U$37</formula1>
    </dataValidation>
    <dataValidation type="list" allowBlank="1" showInputMessage="1" showErrorMessage="1" promptTitle="공제요건" prompt="20세 이하_x000a_(1997.1.1 이후 출생 자녀)" sqref="F59">
      <formula1>$U$28:$U$37</formula1>
    </dataValidation>
    <dataValidation type="whole" operator="greaterThanOrEqual" allowBlank="1" showInputMessage="1" showErrorMessage="1" prompt="직전과세 5천이하 근로소득자_x000a_자산총액40%이상 국내주식 투자_x000a_하는 장기적립식펀드_x000a_2015년 이후 납입분_x000a_농어촌특별세 비과세" sqref="N67">
      <formula1>0</formula1>
    </dataValidation>
    <dataValidation type="whole" operator="greaterThanOrEqual" allowBlank="1" showInputMessage="1" showErrorMessage="1" prompt="2016년 이후_x000a_농어촌 특별세_x000a_비과세로 전환" sqref="N64">
      <formula1>0</formula1>
    </dataValidation>
    <dataValidation type="whole" operator="greaterThanOrEqual" allowBlank="1" showInputMessage="1" showErrorMessage="1" prompt="'95.11.1~'97.12.31 기간중_x000a_미분양 주택 취득_x000a_국민주택기금등으로 차입한_x000a_대출금 이자상환액_x000a_농어촌특별세 과세 대상" sqref="N81">
      <formula1>0</formula1>
    </dataValidation>
    <dataValidation type="whole" operator="greaterThanOrEqual" allowBlank="1" showInputMessage="1" showErrorMessage="1" prompt="총급여 5000만원이하_x000a_국민주택규모의 주택_x000a_(오피스텔포함)_x000a_대부업을 경영하지 않는 개인으로_x000a_년 2.5%이하 이율로 차입한_x000a_원리금 상환액" sqref="N51">
      <formula1>0</formula1>
    </dataValidation>
    <dataValidation type="list" operator="greaterThanOrEqual" allowBlank="1" showInputMessage="1" showErrorMessage="1" prompt="14년 이후 차입금_x000a_국민주택규모 기준 삭제됨." sqref="N52">
      <formula1>$T$43:$T$46</formula1>
    </dataValidation>
    <dataValidation type="list" operator="greaterThanOrEqual" allowBlank="1" showInputMessage="1" showErrorMessage="1" sqref="N53">
      <formula1>$U$43:$U$45</formula1>
    </dataValidation>
    <dataValidation type="list" operator="greaterThanOrEqual" allowBlank="1" showInputMessage="1" showErrorMessage="1" sqref="N54">
      <formula1>$V$43:$V$44</formula1>
    </dataValidation>
    <dataValidation type="list" operator="greaterThanOrEqual" allowBlank="1" showInputMessage="1" showErrorMessage="1" sqref="N55">
      <formula1>$W$43:$W$44</formula1>
    </dataValidation>
    <dataValidation type="whole" operator="greaterThanOrEqual" allowBlank="1" showInputMessage="1" showErrorMessage="1" prompt="14년이전 가입자중_x000a_총급여 7천만원_x000a_초과자는_x000a_17년까지 공제 가능" sqref="N48">
      <formula1>0</formula1>
    </dataValidation>
    <dataValidation type="whole" operator="greaterThanOrEqual" allowBlank="1" showInputMessage="1" showErrorMessage="1" prompt="총급여 7천만원_x000a_이하자만 공제 가능" sqref="N49">
      <formula1>0</formula1>
    </dataValidation>
    <dataValidation type="list" allowBlank="1" showInputMessage="1" showErrorMessage="1" sqref="O64">
      <formula1>$T$49:$T$50</formula1>
    </dataValidation>
    <dataValidation operator="greaterThanOrEqual" allowBlank="1" showInputMessage="1" showErrorMessage="1" prompt="인당 50만원한도" sqref="N40"/>
    <dataValidation type="list" allowBlank="1" showInputMessage="1" showErrorMessage="1" prompt="출생,입양 대상자중_x000a_첫번째 아이" sqref="H61">
      <formula1>$W$28:$W$31</formula1>
    </dataValidation>
    <dataValidation allowBlank="1" showInputMessage="1" showErrorMessage="1" prompt="교육비,급식비_x000a_교과서_x000a_방과후학교_x000a_국외교육비" sqref="M40"/>
    <dataValidation allowBlank="1" showInputMessage="1" showErrorMessage="1" prompt="학교에서 실시하는_x000a_수련활동,수학여행등_x000a_인당 30만원" sqref="O40"/>
    <dataValidation allowBlank="1" showInputMessage="1" showErrorMessage="1" prompt="총급여 1억2천_x000a_종합소득 1억초과자_x000a_한도액 300만원" sqref="P78"/>
    <dataValidation allowBlank="1" showInputMessage="1" showErrorMessage="1" prompt="전통시장 대중교통_x000a_공제율 상향" sqref="P75"/>
    <dataValidation allowBlank="1" showInputMessage="1" showErrorMessage="1" prompt="(300만원, 총급여의 20%)_x000a_총급여 7천초과자 300만원_x000a_총급여 1.2억초과자 200만원" sqref="P68"/>
    <dataValidation allowBlank="1" showInputMessage="1" showErrorMessage="1" prompt="총급여_x000a_4000만원이하 : 500만원_x000a_4000~1억 : 300만원_x000a_1억 초과 : 200만원" sqref="O63:P63"/>
  </dataValidations>
  <printOptions horizontalCentered="1"/>
  <pageMargins left="0.31496062992125984" right="0.39370078740157483" top="0.55118110236220474" bottom="0.98425196850393704" header="0.19685039370078741" footer="0.51181102362204722"/>
  <pageSetup paperSize="9" scale="74" orientation="portrait" horizontalDpi="4294967295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</vt:lpstr>
    </vt:vector>
  </TitlesOfParts>
  <Company>HMC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Ryu, B.Y</dc:creator>
  <cp:lastModifiedBy>류부열</cp:lastModifiedBy>
  <cp:lastPrinted>2011-08-24T04:19:00Z</cp:lastPrinted>
  <dcterms:created xsi:type="dcterms:W3CDTF">2004-12-16T12:22:56Z</dcterms:created>
  <dcterms:modified xsi:type="dcterms:W3CDTF">2017-12-23T12:09:07Z</dcterms:modified>
</cp:coreProperties>
</file>